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rque4\OneDrive - Sempra Energy\Documents\WP Review\Chan\Undercounter Dishwasher\Final\"/>
    </mc:Choice>
  </mc:AlternateContent>
  <xr:revisionPtr revIDLastSave="0" documentId="10_ncr:100000_{226E4160-152C-42DA-8A33-71875346A64E}" xr6:coauthVersionLast="31" xr6:coauthVersionMax="31" xr10:uidLastSave="{00000000-0000-0000-0000-000000000000}"/>
  <bookViews>
    <workbookView xWindow="120" yWindow="45" windowWidth="20115" windowHeight="7995" activeTab="2" xr2:uid="{00000000-000D-0000-FFFF-FFFF00000000}"/>
  </bookViews>
  <sheets>
    <sheet name="Workpaper Hi Temp" sheetId="10" r:id="rId1"/>
    <sheet name="Workpaper Low Temp" sheetId="11" r:id="rId2"/>
    <sheet name="Water Savings" sheetId="12" r:id="rId3"/>
    <sheet name="Summary-Energy Savings" sheetId="13" r:id="rId4"/>
  </sheets>
  <calcPr calcId="179017"/>
</workbook>
</file>

<file path=xl/calcChain.xml><?xml version="1.0" encoding="utf-8"?>
<calcChain xmlns="http://schemas.openxmlformats.org/spreadsheetml/2006/main">
  <c r="B36" i="10" l="1"/>
  <c r="C18" i="11"/>
  <c r="D18" i="11"/>
  <c r="B18" i="11"/>
  <c r="C21" i="11" l="1"/>
  <c r="D21" i="11"/>
  <c r="B21" i="11"/>
  <c r="D22" i="11"/>
  <c r="C22" i="11" l="1"/>
  <c r="B17" i="10"/>
  <c r="O7" i="11" l="1"/>
  <c r="N7" i="11"/>
  <c r="M7" i="11"/>
  <c r="M8" i="11" l="1"/>
  <c r="G23" i="11"/>
  <c r="N8" i="11"/>
  <c r="H23" i="11"/>
  <c r="O8" i="11"/>
  <c r="I23" i="11"/>
  <c r="O9" i="11" l="1"/>
  <c r="N9" i="11"/>
  <c r="C36" i="10"/>
  <c r="O25" i="10" l="1"/>
  <c r="N25" i="10"/>
  <c r="C7" i="11" l="1"/>
  <c r="D7" i="11"/>
  <c r="B7" i="11"/>
  <c r="N23" i="10"/>
  <c r="N24" i="10" s="1"/>
  <c r="O23" i="10"/>
  <c r="O24" i="10" s="1"/>
  <c r="M23" i="10"/>
  <c r="M24" i="10" s="1"/>
  <c r="N5" i="10"/>
  <c r="N7" i="10" s="1"/>
  <c r="N8" i="10" s="1"/>
  <c r="O5" i="10"/>
  <c r="O7" i="10" s="1"/>
  <c r="O8" i="10" s="1"/>
  <c r="O11" i="10" s="1"/>
  <c r="M5" i="10"/>
  <c r="M7" i="10" s="1"/>
  <c r="M8" i="10" s="1"/>
  <c r="B12" i="11" l="1"/>
  <c r="D12" i="11"/>
  <c r="D23" i="11" s="1"/>
  <c r="C12" i="11"/>
  <c r="B23" i="11"/>
  <c r="B14" i="11"/>
  <c r="D14" i="11"/>
  <c r="C23" i="11"/>
  <c r="C14" i="11"/>
  <c r="O9" i="10"/>
  <c r="N9" i="10"/>
  <c r="N11" i="10"/>
  <c r="O12" i="10" s="1"/>
  <c r="H21" i="10"/>
  <c r="H23" i="10" s="1"/>
  <c r="M11" i="10"/>
  <c r="G21" i="10"/>
  <c r="I21" i="10"/>
  <c r="I23" i="10" s="1"/>
  <c r="D15" i="11" l="1"/>
  <c r="C35" i="11" s="1"/>
  <c r="C15" i="11"/>
  <c r="B35" i="11" s="1"/>
  <c r="N12" i="10"/>
  <c r="I22" i="10"/>
  <c r="H22" i="10"/>
  <c r="G23" i="10"/>
  <c r="D10" i="12"/>
  <c r="D12" i="12" s="1"/>
  <c r="C10" i="12"/>
  <c r="C12" i="12" s="1"/>
  <c r="B10" i="12"/>
  <c r="B12" i="12" s="1"/>
  <c r="I8" i="12"/>
  <c r="I10" i="12" s="1"/>
  <c r="I12" i="12" s="1"/>
  <c r="H8" i="12"/>
  <c r="H10" i="12" s="1"/>
  <c r="H12" i="12" s="1"/>
  <c r="G8" i="12"/>
  <c r="G10" i="12" s="1"/>
  <c r="G12" i="12" s="1"/>
  <c r="I6" i="11"/>
  <c r="H6" i="11"/>
  <c r="G6" i="11"/>
  <c r="I4" i="11"/>
  <c r="H4" i="11"/>
  <c r="G4" i="11"/>
  <c r="D5" i="11"/>
  <c r="I5" i="11" s="1"/>
  <c r="C5" i="11"/>
  <c r="H5" i="11" s="1"/>
  <c r="B5" i="11"/>
  <c r="G5" i="11" s="1"/>
  <c r="I28" i="10"/>
  <c r="H28" i="10"/>
  <c r="I8" i="10"/>
  <c r="H8" i="10"/>
  <c r="G8" i="10"/>
  <c r="I6" i="10"/>
  <c r="H6" i="10"/>
  <c r="G6" i="10"/>
  <c r="I4" i="10"/>
  <c r="H4" i="10"/>
  <c r="G4" i="10"/>
  <c r="D7" i="10"/>
  <c r="D12" i="10" s="1"/>
  <c r="D14" i="10" s="1"/>
  <c r="D17" i="10" s="1"/>
  <c r="C7" i="10"/>
  <c r="C12" i="10" s="1"/>
  <c r="C14" i="10" s="1"/>
  <c r="C17" i="10" s="1"/>
  <c r="B7" i="10"/>
  <c r="B12" i="10" s="1"/>
  <c r="B14" i="10" s="1"/>
  <c r="D5" i="10"/>
  <c r="I5" i="10" s="1"/>
  <c r="C5" i="10"/>
  <c r="H5" i="10" s="1"/>
  <c r="B5" i="10"/>
  <c r="G5" i="10" s="1"/>
  <c r="H7" i="11" l="1"/>
  <c r="G7" i="11"/>
  <c r="I7" i="11"/>
  <c r="H24" i="11"/>
  <c r="D18" i="10"/>
  <c r="D15" i="10"/>
  <c r="C35" i="10" s="1"/>
  <c r="C15" i="10"/>
  <c r="B35" i="10" s="1"/>
  <c r="I7" i="10"/>
  <c r="I13" i="10" s="1"/>
  <c r="I15" i="10" s="1"/>
  <c r="I19" i="10" s="1"/>
  <c r="I26" i="10" s="1"/>
  <c r="H7" i="10"/>
  <c r="H13" i="10" s="1"/>
  <c r="H15" i="10" s="1"/>
  <c r="H19" i="10" s="1"/>
  <c r="H26" i="10" s="1"/>
  <c r="G7" i="10"/>
  <c r="G13" i="10" s="1"/>
  <c r="G15" i="10" s="1"/>
  <c r="C22" i="10"/>
  <c r="H18" i="11"/>
  <c r="D14" i="12"/>
  <c r="C14" i="12"/>
  <c r="I14" i="12"/>
  <c r="H14" i="12"/>
  <c r="G18" i="11"/>
  <c r="I18" i="11"/>
  <c r="I13" i="11" l="1"/>
  <c r="G13" i="11"/>
  <c r="H13" i="11"/>
  <c r="C18" i="10"/>
  <c r="G19" i="10"/>
  <c r="G26" i="10" s="1"/>
  <c r="I16" i="10"/>
  <c r="H16" i="10"/>
  <c r="B22" i="10"/>
  <c r="C23" i="10" s="1"/>
  <c r="B19" i="10"/>
  <c r="C19" i="10"/>
  <c r="D22" i="10"/>
  <c r="D19" i="10"/>
  <c r="I19" i="11"/>
  <c r="H19" i="11"/>
  <c r="C24" i="11"/>
  <c r="D24" i="11"/>
  <c r="D19" i="11"/>
  <c r="C19" i="11"/>
  <c r="I24" i="11"/>
  <c r="H21" i="11" l="1"/>
  <c r="H25" i="11" s="1"/>
  <c r="H14" i="11"/>
  <c r="G21" i="11"/>
  <c r="G14" i="11"/>
  <c r="I21" i="11"/>
  <c r="I25" i="11" s="1"/>
  <c r="I14" i="11"/>
  <c r="G25" i="11"/>
  <c r="H20" i="10"/>
  <c r="I20" i="10"/>
  <c r="D23" i="10"/>
  <c r="I27" i="10"/>
  <c r="C21" i="10"/>
  <c r="D21" i="10"/>
  <c r="H27" i="10"/>
  <c r="I25" i="10"/>
  <c r="H25" i="10"/>
  <c r="H15" i="11" l="1"/>
  <c r="H26" i="11"/>
  <c r="I15" i="11"/>
  <c r="H22" i="11"/>
  <c r="B36" i="11" s="1"/>
  <c r="I22" i="11"/>
  <c r="C36" i="11" s="1"/>
  <c r="I26" i="11"/>
</calcChain>
</file>

<file path=xl/sharedStrings.xml><?xml version="1.0" encoding="utf-8"?>
<sst xmlns="http://schemas.openxmlformats.org/spreadsheetml/2006/main" count="229" uniqueCount="89">
  <si>
    <t>Base Case</t>
  </si>
  <si>
    <t>Measure Case Tier 1</t>
  </si>
  <si>
    <t>Measure Case Tier 2</t>
  </si>
  <si>
    <t>Electric Water Heater Energy per Gallon (kWh/gal)</t>
  </si>
  <si>
    <t>Electric Booster Heater Energy per Gallon (kWh/gal)</t>
  </si>
  <si>
    <t>Number of Racks per day (racks/day)</t>
  </si>
  <si>
    <t>Number of Racks per year (racks/year)</t>
  </si>
  <si>
    <t>Water Consumption (Gal/Rack)</t>
  </si>
  <si>
    <t>Daily Water Consumption (Gal)</t>
  </si>
  <si>
    <t>Daily Booster Heater Water (Gal)</t>
  </si>
  <si>
    <t>Wash time per rack (min/rack)</t>
  </si>
  <si>
    <t>Idle Energy Rate (kW)</t>
  </si>
  <si>
    <t>Operating Days/Year</t>
  </si>
  <si>
    <t>Operating Hours/Day</t>
  </si>
  <si>
    <t>Electric Cost ($/kWh)</t>
  </si>
  <si>
    <t>Daily Water Heater Energy Consumption (kWh)</t>
  </si>
  <si>
    <t>Daily Booster Heater Energy (kWh)</t>
  </si>
  <si>
    <t>Daily Idle Energy (kWh)</t>
  </si>
  <si>
    <t>Market Penetration of Electric Water Heaters (%)</t>
  </si>
  <si>
    <t>Market Penetration of Electric Booster Heaters (%)</t>
  </si>
  <si>
    <t>Weighted Annual Heater Energy Consumption (kWh/year)</t>
  </si>
  <si>
    <t>Weighted Annual Booster Heater Energy (kWh/year)</t>
  </si>
  <si>
    <t>Estimated Energy Savings (kWh/yr)</t>
  </si>
  <si>
    <t xml:space="preserve"> -</t>
  </si>
  <si>
    <t>Average Peak Demand (kW)</t>
  </si>
  <si>
    <t>Demand Coincidence Factor</t>
  </si>
  <si>
    <t>Demand Reduction (kW)</t>
  </si>
  <si>
    <t>-</t>
  </si>
  <si>
    <t>Annual Energy Cost ($)</t>
  </si>
  <si>
    <t>Estimated Cost Savings ($/yr)</t>
  </si>
  <si>
    <t>Estimated Useful Life (EUL)</t>
  </si>
  <si>
    <t>Daily Water Heating Energy (kWh)</t>
  </si>
  <si>
    <t>Average On Peak Demand (kW)</t>
  </si>
  <si>
    <t>Estimated On Peak Demand Reduction (kW)</t>
  </si>
  <si>
    <t>Annual Idle Energy (kWh/year)</t>
  </si>
  <si>
    <t>Gas Water Heater Energy per Gallon (Therms/gal)</t>
  </si>
  <si>
    <t>Natural Gas Cost ($/Therm)</t>
  </si>
  <si>
    <t>Daily Water Heating Energy Consumption (Therms)</t>
  </si>
  <si>
    <t>Market Penetration of Gas Water Heaters (%)</t>
  </si>
  <si>
    <t>Weighted Annual Heater Energy Consumption (Therms/year)</t>
  </si>
  <si>
    <t>Estimated Energy Savings (Therms/yr)</t>
  </si>
  <si>
    <t>Daily Water Heating Energy (Therms)</t>
  </si>
  <si>
    <t>High Temperature</t>
  </si>
  <si>
    <t>Low Temperature</t>
  </si>
  <si>
    <t>Measure</t>
  </si>
  <si>
    <t>Tier 1</t>
  </si>
  <si>
    <t>Tier 2</t>
  </si>
  <si>
    <t>Number of Racks per day</t>
  </si>
  <si>
    <t>(racks/day)</t>
  </si>
  <si>
    <t>Number of Racks per year</t>
  </si>
  <si>
    <t>(racks/year)</t>
  </si>
  <si>
    <t>Water Consumption</t>
  </si>
  <si>
    <t>(Gal/Rack)</t>
  </si>
  <si>
    <t>Daily Water Consumption</t>
  </si>
  <si>
    <t>(Gal)</t>
  </si>
  <si>
    <t>Annual Water Consumption</t>
  </si>
  <si>
    <t>(Gallons/year)</t>
  </si>
  <si>
    <t>Annual Water Savings</t>
  </si>
  <si>
    <t xml:space="preserve">                           -   </t>
  </si>
  <si>
    <t>Weighted Annual Heater Energy Consumption (Therms/yr)</t>
  </si>
  <si>
    <t>Estimated Energy Savings (kWh/year)</t>
  </si>
  <si>
    <t>Annual Energy Consumption (kWh)</t>
  </si>
  <si>
    <t>Annual Dishwasher Energy Consumption (kWh/year)</t>
  </si>
  <si>
    <r>
      <t xml:space="preserve">Commercial </t>
    </r>
    <r>
      <rPr>
        <b/>
        <sz val="11"/>
        <rFont val="Calibri"/>
        <family val="2"/>
        <scheme val="minor"/>
      </rPr>
      <t>Electric</t>
    </r>
    <r>
      <rPr>
        <sz val="11"/>
        <rFont val="Calibri"/>
        <family val="2"/>
        <scheme val="minor"/>
      </rPr>
      <t xml:space="preserve"> Water Heater High Temp </t>
    </r>
    <r>
      <rPr>
        <b/>
        <sz val="11"/>
        <rFont val="Calibri"/>
        <family val="2"/>
        <scheme val="minor"/>
      </rPr>
      <t>Under-Counter</t>
    </r>
    <r>
      <rPr>
        <sz val="11"/>
        <rFont val="Calibri"/>
        <family val="2"/>
        <scheme val="minor"/>
      </rPr>
      <t xml:space="preserve"> Dishwasher Energy Consumption</t>
    </r>
  </si>
  <si>
    <r>
      <t xml:space="preserve">Commercial </t>
    </r>
    <r>
      <rPr>
        <b/>
        <sz val="11"/>
        <color theme="1"/>
        <rFont val="Calibri"/>
        <family val="2"/>
        <scheme val="minor"/>
      </rPr>
      <t>Gas</t>
    </r>
    <r>
      <rPr>
        <sz val="11"/>
        <color theme="1"/>
        <rFont val="Calibri"/>
        <family val="2"/>
        <scheme val="minor"/>
      </rPr>
      <t xml:space="preserve"> Water Heater High Temp </t>
    </r>
    <r>
      <rPr>
        <b/>
        <sz val="11"/>
        <color theme="1"/>
        <rFont val="Calibri"/>
        <family val="2"/>
        <scheme val="minor"/>
      </rPr>
      <t>Under-Counter</t>
    </r>
    <r>
      <rPr>
        <sz val="11"/>
        <color theme="1"/>
        <rFont val="Calibri"/>
        <family val="2"/>
        <scheme val="minor"/>
      </rPr>
      <t xml:space="preserve"> Dishwasher  Energy Consumption</t>
    </r>
  </si>
  <si>
    <t xml:space="preserve">* The fuel type for the water heater in the header refers to the primary water heater.  The booster heater is assumed to 100% electric. </t>
  </si>
  <si>
    <r>
      <rPr>
        <b/>
        <sz val="11"/>
        <rFont val="Calibri"/>
        <family val="2"/>
        <scheme val="minor"/>
      </rPr>
      <t>Electric</t>
    </r>
    <r>
      <rPr>
        <sz val="11"/>
        <rFont val="Calibri"/>
        <family val="2"/>
        <scheme val="minor"/>
      </rPr>
      <t xml:space="preserve"> Water Heater Energy per Gallon (kWh/gal)</t>
    </r>
  </si>
  <si>
    <r>
      <rPr>
        <b/>
        <sz val="11"/>
        <color theme="1"/>
        <rFont val="Calibri"/>
        <family val="2"/>
        <scheme val="minor"/>
      </rPr>
      <t>Gas</t>
    </r>
    <r>
      <rPr>
        <sz val="11"/>
        <color theme="1"/>
        <rFont val="Calibri"/>
        <family val="2"/>
        <scheme val="minor"/>
      </rPr>
      <t xml:space="preserve"> Water Heater Energy per Gallon (Therms/gal)</t>
    </r>
  </si>
  <si>
    <t>Commercial Electric Low Temp Under-Counter Dishwasher Base Case and Measure Case Energy Consumption</t>
  </si>
  <si>
    <t>Commercial Gas Water Heater Low Temperature Under-Counter Dishwasher Base Case and Measure Case Energy Consumption</t>
  </si>
  <si>
    <r>
      <t xml:space="preserve">Commercial </t>
    </r>
    <r>
      <rPr>
        <b/>
        <sz val="11"/>
        <color theme="1"/>
        <rFont val="Calibri"/>
        <family val="2"/>
        <scheme val="minor"/>
      </rPr>
      <t>Electric</t>
    </r>
    <r>
      <rPr>
        <sz val="11"/>
        <color theme="1"/>
        <rFont val="Calibri"/>
        <family val="2"/>
        <scheme val="minor"/>
      </rPr>
      <t xml:space="preserve"> Booster Heater High Temp Under-Counter Dishwasher Energy Consumption</t>
    </r>
  </si>
  <si>
    <t>Total Energy Consumption and Demand  (Electric Water Heater + Electric Booster + Idle)</t>
  </si>
  <si>
    <t>Total Energy Consumption and Demand  (Gas Water Heater + Electric Booster + Idle)</t>
  </si>
  <si>
    <t>Low temperature</t>
  </si>
  <si>
    <t>High temperature</t>
  </si>
  <si>
    <t xml:space="preserve">Total </t>
  </si>
  <si>
    <t>kWh</t>
  </si>
  <si>
    <t>therm</t>
  </si>
  <si>
    <t>Estimated Water Heating Energy Savings (kWh/yr)</t>
  </si>
  <si>
    <t>Estimated Water Heating Energy Savings (therm/yr)</t>
  </si>
  <si>
    <t>Estimated Booster Energy Savings (kWh/yr)</t>
  </si>
  <si>
    <r>
      <t xml:space="preserve">Commercial Heater Low Temp Under-Counter Dishwasher </t>
    </r>
    <r>
      <rPr>
        <b/>
        <sz val="11"/>
        <color theme="1"/>
        <rFont val="Calibri"/>
        <family val="2"/>
        <scheme val="minor"/>
      </rPr>
      <t>Idle</t>
    </r>
    <r>
      <rPr>
        <sz val="11"/>
        <color theme="1"/>
        <rFont val="Calibri"/>
        <family val="2"/>
        <scheme val="minor"/>
      </rPr>
      <t xml:space="preserve"> Energy Consumption</t>
    </r>
  </si>
  <si>
    <t>Total Energy Consumption and Demand  (Electric Water Heater + Idle)</t>
  </si>
  <si>
    <t>Total Energy Consumption and Demand  (Gas Water Heater + Idle)</t>
  </si>
  <si>
    <t>Annual Energy Savings Summary</t>
  </si>
  <si>
    <r>
      <t xml:space="preserve">Commercial  High Temp Under-Counter Dishwasher </t>
    </r>
    <r>
      <rPr>
        <b/>
        <sz val="11"/>
        <color theme="1"/>
        <rFont val="Calibri"/>
        <family val="2"/>
        <scheme val="minor"/>
      </rPr>
      <t>Idle</t>
    </r>
    <r>
      <rPr>
        <sz val="11"/>
        <color theme="1"/>
        <rFont val="Calibri"/>
        <family val="2"/>
        <scheme val="minor"/>
      </rPr>
      <t xml:space="preserve"> Energy Consumption</t>
    </r>
  </si>
  <si>
    <t>Therms</t>
  </si>
  <si>
    <t>Weighted Annual Energy Consumption (kWh)</t>
  </si>
  <si>
    <t>Weighted Annual Energy Consumption (therm)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</si>
</sst>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"/>
    <numFmt numFmtId="167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0" fillId="0" borderId="12" xfId="0" applyBorder="1"/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1" fontId="0" fillId="0" borderId="12" xfId="0" applyNumberFormat="1" applyBorder="1" applyAlignment="1">
      <alignment vertical="center" wrapText="1"/>
    </xf>
    <xf numFmtId="165" fontId="0" fillId="0" borderId="12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1" fontId="16" fillId="0" borderId="12" xfId="0" applyNumberFormat="1" applyFont="1" applyBorder="1" applyAlignment="1">
      <alignment vertical="center" wrapText="1"/>
    </xf>
    <xf numFmtId="164" fontId="0" fillId="0" borderId="12" xfId="0" applyNumberForma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Fill="1" applyBorder="1"/>
    <xf numFmtId="0" fontId="0" fillId="0" borderId="0" xfId="0" applyBorder="1" applyAlignment="1">
      <alignment vertical="center"/>
    </xf>
    <xf numFmtId="0" fontId="0" fillId="0" borderId="16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2" fontId="0" fillId="0" borderId="12" xfId="0" applyNumberFormat="1" applyFont="1" applyBorder="1" applyAlignment="1">
      <alignment vertical="center" wrapText="1"/>
    </xf>
    <xf numFmtId="1" fontId="0" fillId="0" borderId="12" xfId="0" applyNumberFormat="1" applyFont="1" applyBorder="1" applyAlignment="1">
      <alignment vertical="center" wrapText="1"/>
    </xf>
    <xf numFmtId="0" fontId="0" fillId="0" borderId="16" xfId="0" applyFont="1" applyBorder="1" applyAlignment="1">
      <alignment vertical="center"/>
    </xf>
    <xf numFmtId="3" fontId="0" fillId="0" borderId="12" xfId="0" applyNumberFormat="1" applyFont="1" applyBorder="1" applyAlignment="1">
      <alignment vertical="center" wrapText="1"/>
    </xf>
    <xf numFmtId="1" fontId="0" fillId="0" borderId="12" xfId="0" applyNumberFormat="1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 wrapText="1"/>
    </xf>
    <xf numFmtId="0" fontId="18" fillId="0" borderId="13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2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165" fontId="18" fillId="0" borderId="12" xfId="0" applyNumberFormat="1" applyFont="1" applyBorder="1" applyAlignment="1">
      <alignment vertical="center" wrapText="1"/>
    </xf>
    <xf numFmtId="2" fontId="18" fillId="0" borderId="12" xfId="0" applyNumberFormat="1" applyFont="1" applyBorder="1" applyAlignment="1">
      <alignment vertical="center" wrapText="1"/>
    </xf>
    <xf numFmtId="3" fontId="18" fillId="0" borderId="12" xfId="0" applyNumberFormat="1" applyFont="1" applyBorder="1" applyAlignment="1">
      <alignment vertical="center" wrapText="1"/>
    </xf>
    <xf numFmtId="0" fontId="0" fillId="0" borderId="21" xfId="0" applyFill="1" applyBorder="1" applyAlignment="1">
      <alignment vertical="center"/>
    </xf>
    <xf numFmtId="0" fontId="0" fillId="0" borderId="0" xfId="0" applyFont="1"/>
    <xf numFmtId="2" fontId="0" fillId="0" borderId="12" xfId="0" applyNumberFormat="1" applyFont="1" applyBorder="1" applyAlignment="1">
      <alignment vertical="center"/>
    </xf>
    <xf numFmtId="0" fontId="0" fillId="0" borderId="0" xfId="0" applyBorder="1"/>
    <xf numFmtId="0" fontId="16" fillId="0" borderId="18" xfId="0" applyFont="1" applyBorder="1" applyAlignment="1">
      <alignment vertical="center"/>
    </xf>
    <xf numFmtId="0" fontId="18" fillId="0" borderId="16" xfId="0" applyFont="1" applyFill="1" applyBorder="1" applyAlignment="1">
      <alignment vertical="center" wrapText="1"/>
    </xf>
    <xf numFmtId="0" fontId="14" fillId="0" borderId="0" xfId="0" applyFont="1"/>
    <xf numFmtId="0" fontId="16" fillId="0" borderId="16" xfId="0" applyFont="1" applyFill="1" applyBorder="1" applyAlignment="1">
      <alignment vertical="center" wrapText="1"/>
    </xf>
    <xf numFmtId="0" fontId="16" fillId="0" borderId="16" xfId="0" applyFont="1" applyBorder="1" applyAlignment="1">
      <alignment vertical="center"/>
    </xf>
    <xf numFmtId="1" fontId="18" fillId="0" borderId="12" xfId="0" applyNumberFormat="1" applyFont="1" applyFill="1" applyBorder="1" applyAlignment="1">
      <alignment vertical="center" wrapText="1"/>
    </xf>
    <xf numFmtId="1" fontId="0" fillId="0" borderId="0" xfId="0" applyNumberFormat="1" applyFill="1" applyBorder="1"/>
    <xf numFmtId="0" fontId="0" fillId="0" borderId="22" xfId="0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2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0" fillId="0" borderId="22" xfId="0" applyFill="1" applyBorder="1"/>
    <xf numFmtId="0" fontId="0" fillId="0" borderId="22" xfId="0" applyBorder="1"/>
    <xf numFmtId="0" fontId="18" fillId="0" borderId="22" xfId="0" applyFont="1" applyFill="1" applyBorder="1" applyAlignment="1">
      <alignment vertical="center"/>
    </xf>
    <xf numFmtId="164" fontId="18" fillId="0" borderId="22" xfId="0" applyNumberFormat="1" applyFont="1" applyFill="1" applyBorder="1" applyAlignment="1">
      <alignment vertical="center" wrapText="1"/>
    </xf>
    <xf numFmtId="2" fontId="0" fillId="0" borderId="22" xfId="0" applyNumberFormat="1" applyFill="1" applyBorder="1"/>
    <xf numFmtId="1" fontId="0" fillId="0" borderId="22" xfId="0" applyNumberFormat="1" applyFill="1" applyBorder="1"/>
    <xf numFmtId="3" fontId="18" fillId="0" borderId="22" xfId="0" applyNumberFormat="1" applyFont="1" applyBorder="1" applyAlignment="1">
      <alignment vertical="center" wrapText="1"/>
    </xf>
    <xf numFmtId="3" fontId="0" fillId="0" borderId="22" xfId="0" applyNumberFormat="1" applyBorder="1"/>
    <xf numFmtId="0" fontId="0" fillId="0" borderId="22" xfId="0" applyFont="1" applyBorder="1" applyAlignment="1">
      <alignment vertical="center"/>
    </xf>
    <xf numFmtId="0" fontId="0" fillId="0" borderId="22" xfId="0" applyFont="1" applyBorder="1" applyAlignment="1">
      <alignment vertical="center" wrapText="1"/>
    </xf>
    <xf numFmtId="1" fontId="0" fillId="0" borderId="22" xfId="0" applyNumberFormat="1" applyBorder="1"/>
    <xf numFmtId="2" fontId="0" fillId="0" borderId="22" xfId="0" applyNumberFormat="1" applyBorder="1"/>
    <xf numFmtId="165" fontId="18" fillId="0" borderId="22" xfId="0" applyNumberFormat="1" applyFont="1" applyFill="1" applyBorder="1" applyAlignment="1">
      <alignment vertical="center" wrapText="1"/>
    </xf>
    <xf numFmtId="1" fontId="0" fillId="0" borderId="0" xfId="0" applyNumberFormat="1"/>
    <xf numFmtId="1" fontId="18" fillId="0" borderId="12" xfId="0" applyNumberFormat="1" applyFont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9" fillId="0" borderId="18" xfId="0" applyFont="1" applyBorder="1" applyAlignment="1">
      <alignment vertical="center"/>
    </xf>
    <xf numFmtId="0" fontId="19" fillId="0" borderId="18" xfId="0" applyFont="1" applyBorder="1" applyAlignment="1">
      <alignment vertical="center" wrapText="1"/>
    </xf>
    <xf numFmtId="1" fontId="0" fillId="0" borderId="12" xfId="0" applyNumberFormat="1" applyFill="1" applyBorder="1" applyAlignment="1">
      <alignment vertical="center"/>
    </xf>
    <xf numFmtId="0" fontId="0" fillId="0" borderId="16" xfId="0" applyFill="1" applyBorder="1" applyAlignment="1">
      <alignment vertical="center" wrapText="1"/>
    </xf>
    <xf numFmtId="2" fontId="0" fillId="0" borderId="12" xfId="0" applyNumberFormat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6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2" fontId="0" fillId="0" borderId="12" xfId="0" applyNumberFormat="1" applyFont="1" applyFill="1" applyBorder="1" applyAlignment="1">
      <alignment vertical="center" wrapText="1"/>
    </xf>
    <xf numFmtId="1" fontId="0" fillId="0" borderId="12" xfId="0" applyNumberFormat="1" applyFont="1" applyFill="1" applyBorder="1" applyAlignment="1">
      <alignment vertical="center" wrapText="1"/>
    </xf>
    <xf numFmtId="0" fontId="16" fillId="0" borderId="22" xfId="0" applyFont="1" applyFill="1" applyBorder="1"/>
    <xf numFmtId="0" fontId="20" fillId="0" borderId="0" xfId="0" applyFont="1"/>
    <xf numFmtId="0" fontId="0" fillId="0" borderId="0" xfId="0" applyBorder="1"/>
    <xf numFmtId="1" fontId="18" fillId="0" borderId="20" xfId="0" applyNumberFormat="1" applyFont="1" applyFill="1" applyBorder="1" applyAlignment="1">
      <alignment vertical="center" wrapText="1"/>
    </xf>
    <xf numFmtId="0" fontId="0" fillId="0" borderId="25" xfId="0" applyBorder="1"/>
    <xf numFmtId="0" fontId="0" fillId="0" borderId="21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" fontId="0" fillId="0" borderId="0" xfId="0" applyNumberFormat="1" applyBorder="1"/>
    <xf numFmtId="1" fontId="0" fillId="0" borderId="28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1" xfId="0" applyNumberFormat="1" applyBorder="1"/>
    <xf numFmtId="0" fontId="0" fillId="0" borderId="32" xfId="0" applyBorder="1"/>
    <xf numFmtId="0" fontId="21" fillId="0" borderId="32" xfId="0" applyFont="1" applyBorder="1"/>
    <xf numFmtId="0" fontId="16" fillId="0" borderId="32" xfId="0" applyFont="1" applyFill="1" applyBorder="1"/>
    <xf numFmtId="1" fontId="0" fillId="0" borderId="32" xfId="0" applyNumberFormat="1" applyBorder="1"/>
    <xf numFmtId="0" fontId="0" fillId="0" borderId="16" xfId="0" applyFill="1" applyBorder="1" applyAlignment="1">
      <alignment vertical="center"/>
    </xf>
    <xf numFmtId="0" fontId="0" fillId="0" borderId="0" xfId="0" applyFill="1"/>
    <xf numFmtId="0" fontId="0" fillId="0" borderId="16" xfId="0" applyFont="1" applyFill="1" applyBorder="1" applyAlignment="1">
      <alignment vertical="center"/>
    </xf>
    <xf numFmtId="2" fontId="18" fillId="0" borderId="12" xfId="0" applyNumberFormat="1" applyFont="1" applyBorder="1" applyAlignment="1">
      <alignment vertical="center"/>
    </xf>
    <xf numFmtId="0" fontId="0" fillId="33" borderId="20" xfId="0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0" fillId="33" borderId="0" xfId="0" applyFill="1" applyBorder="1" applyAlignment="1">
      <alignment horizontal="center"/>
    </xf>
    <xf numFmtId="0" fontId="18" fillId="33" borderId="17" xfId="0" applyFont="1" applyFill="1" applyBorder="1" applyAlignment="1">
      <alignment horizontal="center" vertical="center" wrapText="1"/>
    </xf>
    <xf numFmtId="0" fontId="18" fillId="33" borderId="19" xfId="0" applyFont="1" applyFill="1" applyBorder="1" applyAlignment="1">
      <alignment horizontal="center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23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24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0" fillId="33" borderId="20" xfId="0" applyFont="1" applyFill="1" applyBorder="1" applyAlignment="1">
      <alignment horizontal="center" vertical="center"/>
    </xf>
    <xf numFmtId="0" fontId="0" fillId="0" borderId="0" xfId="0" applyBorder="1"/>
    <xf numFmtId="0" fontId="16" fillId="0" borderId="17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3" fontId="0" fillId="0" borderId="14" xfId="0" applyNumberFormat="1" applyBorder="1" applyAlignment="1">
      <alignment vertical="center" wrapText="1"/>
    </xf>
    <xf numFmtId="3" fontId="0" fillId="0" borderId="16" xfId="0" applyNumberForma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2" fontId="18" fillId="0" borderId="14" xfId="0" applyNumberFormat="1" applyFont="1" applyBorder="1" applyAlignment="1">
      <alignment horizontal="right" vertical="center" wrapText="1"/>
    </xf>
    <xf numFmtId="2" fontId="18" fillId="0" borderId="16" xfId="0" applyNumberFormat="1" applyFont="1" applyBorder="1" applyAlignment="1">
      <alignment horizontal="right" vertical="center" wrapText="1"/>
    </xf>
    <xf numFmtId="3" fontId="16" fillId="0" borderId="14" xfId="0" applyNumberFormat="1" applyFont="1" applyBorder="1" applyAlignment="1">
      <alignment vertical="center" wrapText="1"/>
    </xf>
    <xf numFmtId="3" fontId="16" fillId="0" borderId="16" xfId="0" applyNumberFormat="1" applyFont="1" applyBorder="1" applyAlignment="1">
      <alignment vertical="center" wrapText="1"/>
    </xf>
    <xf numFmtId="2" fontId="0" fillId="0" borderId="14" xfId="0" applyNumberFormat="1" applyBorder="1" applyAlignment="1">
      <alignment vertical="center" wrapText="1"/>
    </xf>
    <xf numFmtId="165" fontId="0" fillId="0" borderId="14" xfId="0" applyNumberFormat="1" applyBorder="1" applyAlignment="1">
      <alignment vertical="center" wrapText="1"/>
    </xf>
    <xf numFmtId="165" fontId="0" fillId="0" borderId="16" xfId="0" applyNumberForma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2" fillId="33" borderId="0" xfId="0" applyFont="1" applyFill="1" applyAlignment="1">
      <alignment horizontal="center"/>
    </xf>
    <xf numFmtId="0" fontId="21" fillId="0" borderId="32" xfId="0" applyFont="1" applyBorder="1" applyAlignment="1">
      <alignment vertical="center" wrapText="1"/>
    </xf>
    <xf numFmtId="167" fontId="0" fillId="0" borderId="32" xfId="42" applyNumberFormat="1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zoomScaleNormal="100" workbookViewId="0">
      <selection activeCell="B35" sqref="B35"/>
    </sheetView>
  </sheetViews>
  <sheetFormatPr defaultRowHeight="15" x14ac:dyDescent="0.25"/>
  <cols>
    <col min="1" max="1" width="55.7109375" customWidth="1"/>
    <col min="2" max="2" width="9.7109375" bestFit="1" customWidth="1"/>
    <col min="3" max="3" width="18.85546875" bestFit="1" customWidth="1"/>
    <col min="4" max="4" width="24.5703125" customWidth="1"/>
    <col min="6" max="6" width="56.28515625" bestFit="1" customWidth="1"/>
    <col min="7" max="7" width="9.7109375" bestFit="1" customWidth="1"/>
    <col min="8" max="8" width="19" bestFit="1" customWidth="1"/>
    <col min="9" max="9" width="26.5703125" customWidth="1"/>
    <col min="12" max="12" width="47.85546875" customWidth="1"/>
    <col min="13" max="13" width="18.42578125" customWidth="1"/>
    <col min="14" max="14" width="17.28515625" customWidth="1"/>
    <col min="15" max="15" width="26.85546875" customWidth="1"/>
  </cols>
  <sheetData>
    <row r="1" spans="1:16" ht="15.75" thickBot="1" x14ac:dyDescent="0.3">
      <c r="A1" s="111" t="s">
        <v>63</v>
      </c>
      <c r="B1" s="111"/>
      <c r="C1" s="111"/>
      <c r="D1" s="111"/>
      <c r="F1" s="110" t="s">
        <v>64</v>
      </c>
      <c r="G1" s="110"/>
      <c r="H1" s="110"/>
      <c r="I1" s="110"/>
      <c r="K1" s="27"/>
      <c r="L1" s="112" t="s">
        <v>70</v>
      </c>
      <c r="M1" s="112"/>
      <c r="N1" s="112"/>
      <c r="O1" s="112"/>
    </row>
    <row r="2" spans="1:16" ht="16.5" thickTop="1" thickBot="1" x14ac:dyDescent="0.3">
      <c r="A2" s="38"/>
      <c r="B2" s="78" t="s">
        <v>0</v>
      </c>
      <c r="C2" s="78" t="s">
        <v>1</v>
      </c>
      <c r="D2" s="79" t="s">
        <v>2</v>
      </c>
      <c r="F2" s="3"/>
      <c r="G2" s="36" t="s">
        <v>0</v>
      </c>
      <c r="H2" s="36" t="s">
        <v>1</v>
      </c>
      <c r="I2" s="37" t="s">
        <v>2</v>
      </c>
      <c r="K2" s="27"/>
      <c r="L2" s="58"/>
      <c r="M2" s="59" t="s">
        <v>0</v>
      </c>
      <c r="N2" s="59" t="s">
        <v>1</v>
      </c>
      <c r="O2" s="60" t="s">
        <v>2</v>
      </c>
    </row>
    <row r="3" spans="1:16" ht="16.5" thickTop="1" thickBot="1" x14ac:dyDescent="0.3">
      <c r="A3" s="39" t="s">
        <v>66</v>
      </c>
      <c r="B3" s="40">
        <v>0.20100000000000001</v>
      </c>
      <c r="C3" s="40">
        <v>0.20100000000000001</v>
      </c>
      <c r="D3" s="40">
        <v>0.20100000000000001</v>
      </c>
      <c r="F3" s="25" t="s">
        <v>67</v>
      </c>
      <c r="G3" s="7">
        <v>8.6999999999999994E-3</v>
      </c>
      <c r="H3" s="7">
        <v>8.6999999999999994E-3</v>
      </c>
      <c r="I3" s="7">
        <v>8.6999999999999994E-3</v>
      </c>
      <c r="K3" s="27"/>
      <c r="L3" s="64" t="s">
        <v>4</v>
      </c>
      <c r="M3" s="65">
        <v>9.8000000000000004E-2</v>
      </c>
      <c r="N3" s="65">
        <v>9.8000000000000004E-2</v>
      </c>
      <c r="O3" s="65">
        <v>9.8000000000000004E-2</v>
      </c>
    </row>
    <row r="4" spans="1:16" ht="16.5" thickTop="1" thickBot="1" x14ac:dyDescent="0.3">
      <c r="A4" s="42" t="s">
        <v>5</v>
      </c>
      <c r="B4" s="41">
        <v>50</v>
      </c>
      <c r="C4" s="41">
        <v>50</v>
      </c>
      <c r="D4" s="41">
        <v>50</v>
      </c>
      <c r="F4" s="29" t="s">
        <v>5</v>
      </c>
      <c r="G4" s="30">
        <f t="shared" ref="G4:I6" si="0">B4</f>
        <v>50</v>
      </c>
      <c r="H4" s="30">
        <f t="shared" si="0"/>
        <v>50</v>
      </c>
      <c r="I4" s="30">
        <f t="shared" si="0"/>
        <v>50</v>
      </c>
      <c r="K4" s="27"/>
      <c r="L4" s="64" t="s">
        <v>9</v>
      </c>
      <c r="M4" s="74">
        <v>50</v>
      </c>
      <c r="N4" s="74">
        <v>43</v>
      </c>
      <c r="O4" s="74">
        <v>36.5</v>
      </c>
    </row>
    <row r="5" spans="1:16" ht="16.5" thickTop="1" thickBot="1" x14ac:dyDescent="0.3">
      <c r="A5" s="42" t="s">
        <v>6</v>
      </c>
      <c r="B5" s="46">
        <f>B4*365</f>
        <v>18250</v>
      </c>
      <c r="C5" s="46">
        <f t="shared" ref="C5:D5" si="1">C4*365</f>
        <v>18250</v>
      </c>
      <c r="D5" s="46">
        <f t="shared" si="1"/>
        <v>18250</v>
      </c>
      <c r="F5" s="29" t="s">
        <v>6</v>
      </c>
      <c r="G5" s="30">
        <f t="shared" si="0"/>
        <v>18250</v>
      </c>
      <c r="H5" s="30">
        <f t="shared" si="0"/>
        <v>18250</v>
      </c>
      <c r="I5" s="30">
        <f t="shared" si="0"/>
        <v>18250</v>
      </c>
      <c r="K5" s="27"/>
      <c r="L5" s="62" t="s">
        <v>16</v>
      </c>
      <c r="M5" s="66">
        <f>M3*M4</f>
        <v>4.9000000000000004</v>
      </c>
      <c r="N5" s="66">
        <f t="shared" ref="N5:O5" si="2">N3*N4</f>
        <v>4.2140000000000004</v>
      </c>
      <c r="O5" s="66">
        <f t="shared" si="2"/>
        <v>3.577</v>
      </c>
    </row>
    <row r="6" spans="1:16" ht="16.5" thickTop="1" thickBot="1" x14ac:dyDescent="0.3">
      <c r="A6" s="42" t="s">
        <v>7</v>
      </c>
      <c r="B6" s="45">
        <v>1</v>
      </c>
      <c r="C6" s="45">
        <v>0.86</v>
      </c>
      <c r="D6" s="45">
        <v>0.73</v>
      </c>
      <c r="F6" s="29" t="s">
        <v>7</v>
      </c>
      <c r="G6" s="30">
        <f t="shared" si="0"/>
        <v>1</v>
      </c>
      <c r="H6" s="30">
        <f t="shared" si="0"/>
        <v>0.86</v>
      </c>
      <c r="I6" s="30">
        <f t="shared" si="0"/>
        <v>0.73</v>
      </c>
      <c r="K6" s="27"/>
      <c r="L6" s="62" t="s">
        <v>19</v>
      </c>
      <c r="M6" s="62">
        <v>100</v>
      </c>
      <c r="N6" s="63">
        <v>100</v>
      </c>
      <c r="O6" s="63">
        <v>100</v>
      </c>
    </row>
    <row r="7" spans="1:16" ht="16.5" thickTop="1" thickBot="1" x14ac:dyDescent="0.3">
      <c r="A7" s="42" t="s">
        <v>8</v>
      </c>
      <c r="B7" s="44">
        <f>B6*B4</f>
        <v>50</v>
      </c>
      <c r="C7" s="44">
        <f t="shared" ref="C7:D7" si="3">C6*C4</f>
        <v>43</v>
      </c>
      <c r="D7" s="44">
        <f t="shared" si="3"/>
        <v>36.5</v>
      </c>
      <c r="F7" s="33" t="s">
        <v>8</v>
      </c>
      <c r="G7" s="30">
        <f>G6*G4</f>
        <v>50</v>
      </c>
      <c r="H7" s="30">
        <f t="shared" ref="H7:I7" si="4">H6*H4</f>
        <v>43</v>
      </c>
      <c r="I7" s="30">
        <f t="shared" si="4"/>
        <v>36.5</v>
      </c>
      <c r="K7" s="27"/>
      <c r="L7" s="62" t="s">
        <v>21</v>
      </c>
      <c r="M7" s="67">
        <f>(M5*365)*(M6/100)</f>
        <v>1788.5000000000002</v>
      </c>
      <c r="N7" s="67">
        <f t="shared" ref="N7:O7" si="5">(N5*365)*(N6/100)</f>
        <v>1538.1100000000001</v>
      </c>
      <c r="O7" s="67">
        <f t="shared" si="5"/>
        <v>1305.605</v>
      </c>
    </row>
    <row r="8" spans="1:16" ht="16.5" thickTop="1" thickBot="1" x14ac:dyDescent="0.3">
      <c r="A8" s="39" t="s">
        <v>10</v>
      </c>
      <c r="B8" s="41">
        <v>2</v>
      </c>
      <c r="C8" s="41">
        <v>2</v>
      </c>
      <c r="D8" s="41">
        <v>2</v>
      </c>
      <c r="F8" s="81" t="s">
        <v>10</v>
      </c>
      <c r="G8" s="7">
        <f>B8</f>
        <v>2</v>
      </c>
      <c r="H8" s="7">
        <f>C8</f>
        <v>2</v>
      </c>
      <c r="I8" s="7">
        <f>D8</f>
        <v>2</v>
      </c>
      <c r="K8" s="27"/>
      <c r="L8" s="88" t="s">
        <v>61</v>
      </c>
      <c r="M8" s="67">
        <f>M7</f>
        <v>1788.5000000000002</v>
      </c>
      <c r="N8" s="67">
        <f t="shared" ref="N8:O8" si="6">N7</f>
        <v>1538.1100000000001</v>
      </c>
      <c r="O8" s="67">
        <f t="shared" si="6"/>
        <v>1305.605</v>
      </c>
      <c r="P8" s="57"/>
    </row>
    <row r="9" spans="1:16" ht="15.75" thickBot="1" x14ac:dyDescent="0.3">
      <c r="A9" s="42" t="s">
        <v>12</v>
      </c>
      <c r="B9" s="41">
        <v>365</v>
      </c>
      <c r="C9" s="41">
        <v>365</v>
      </c>
      <c r="D9" s="41">
        <v>365</v>
      </c>
      <c r="F9" s="25" t="s">
        <v>12</v>
      </c>
      <c r="G9" s="7">
        <v>365</v>
      </c>
      <c r="H9" s="7">
        <v>365</v>
      </c>
      <c r="I9" s="7">
        <v>365</v>
      </c>
      <c r="K9" s="27"/>
      <c r="L9" s="77" t="s">
        <v>80</v>
      </c>
      <c r="M9" s="91" t="s">
        <v>27</v>
      </c>
      <c r="N9" s="91">
        <f>M8-N8</f>
        <v>250.3900000000001</v>
      </c>
      <c r="O9" s="56">
        <f>M8-O8</f>
        <v>482.89500000000021</v>
      </c>
    </row>
    <row r="10" spans="1:16" ht="16.5" thickTop="1" thickBot="1" x14ac:dyDescent="0.3">
      <c r="A10" s="42" t="s">
        <v>13</v>
      </c>
      <c r="B10" s="41">
        <v>12</v>
      </c>
      <c r="C10" s="41">
        <v>12</v>
      </c>
      <c r="D10" s="41">
        <v>12</v>
      </c>
      <c r="F10" s="25" t="s">
        <v>13</v>
      </c>
      <c r="G10" s="7">
        <v>12</v>
      </c>
      <c r="H10" s="7">
        <v>12</v>
      </c>
      <c r="I10" s="7">
        <v>12</v>
      </c>
      <c r="K10" s="27"/>
      <c r="L10" s="62" t="s">
        <v>14</v>
      </c>
      <c r="M10" s="62">
        <v>0.13</v>
      </c>
      <c r="N10" s="63">
        <v>0.13</v>
      </c>
      <c r="O10" s="63">
        <v>0.13</v>
      </c>
    </row>
    <row r="11" spans="1:16" ht="16.5" thickTop="1" thickBot="1" x14ac:dyDescent="0.3">
      <c r="A11" s="52" t="s">
        <v>14</v>
      </c>
      <c r="B11" s="41">
        <v>0.13</v>
      </c>
      <c r="C11" s="41">
        <v>0.13</v>
      </c>
      <c r="D11" s="41">
        <v>0.13</v>
      </c>
      <c r="F11" s="81" t="s">
        <v>36</v>
      </c>
      <c r="G11" s="7">
        <v>1</v>
      </c>
      <c r="H11" s="7">
        <v>1</v>
      </c>
      <c r="I11" s="7">
        <v>1</v>
      </c>
      <c r="K11" s="27"/>
      <c r="L11" s="61" t="s">
        <v>28</v>
      </c>
      <c r="M11" s="68">
        <f>M8*M10</f>
        <v>232.50500000000002</v>
      </c>
      <c r="N11" s="68">
        <f>N8*N10</f>
        <v>199.95430000000002</v>
      </c>
      <c r="O11" s="68">
        <f>O8*O10</f>
        <v>169.72865000000002</v>
      </c>
    </row>
    <row r="12" spans="1:16" ht="16.5" thickTop="1" thickBot="1" x14ac:dyDescent="0.3">
      <c r="A12" s="42" t="s">
        <v>15</v>
      </c>
      <c r="B12" s="45">
        <f>B7*B3</f>
        <v>10.050000000000001</v>
      </c>
      <c r="C12" s="45">
        <f>C7*C3</f>
        <v>8.6430000000000007</v>
      </c>
      <c r="D12" s="45">
        <f>D7*D3</f>
        <v>7.3365</v>
      </c>
      <c r="F12" s="81" t="s">
        <v>14</v>
      </c>
      <c r="G12" s="81">
        <v>0.13</v>
      </c>
      <c r="H12" s="81">
        <v>0.13</v>
      </c>
      <c r="I12" s="81">
        <v>0.13</v>
      </c>
      <c r="K12" s="27"/>
      <c r="L12" s="62" t="s">
        <v>29</v>
      </c>
      <c r="M12" s="62" t="s">
        <v>27</v>
      </c>
      <c r="N12" s="69">
        <f>M11-N11</f>
        <v>32.550700000000006</v>
      </c>
      <c r="O12" s="69">
        <f>N11-O11</f>
        <v>30.225650000000002</v>
      </c>
    </row>
    <row r="13" spans="1:16" ht="16.5" thickTop="1" thickBot="1" x14ac:dyDescent="0.3">
      <c r="A13" s="42" t="s">
        <v>18</v>
      </c>
      <c r="B13" s="41">
        <v>3</v>
      </c>
      <c r="C13" s="41">
        <v>3</v>
      </c>
      <c r="D13" s="41">
        <v>3</v>
      </c>
      <c r="F13" s="25" t="s">
        <v>37</v>
      </c>
      <c r="G13" s="17">
        <f>G7*G3</f>
        <v>0.43499999999999994</v>
      </c>
      <c r="H13" s="17">
        <f>H7*H3</f>
        <v>0.37409999999999999</v>
      </c>
      <c r="I13" s="17">
        <f>I7*I3</f>
        <v>0.31755</v>
      </c>
      <c r="K13" s="27"/>
      <c r="L13" s="62" t="s">
        <v>30</v>
      </c>
      <c r="M13" s="62">
        <v>12</v>
      </c>
      <c r="N13" s="63">
        <v>12</v>
      </c>
      <c r="O13" s="63">
        <v>12</v>
      </c>
    </row>
    <row r="14" spans="1:16" ht="32.25" customHeight="1" thickBot="1" x14ac:dyDescent="0.3">
      <c r="A14" s="43" t="s">
        <v>20</v>
      </c>
      <c r="B14" s="56">
        <f>(B12*365)*(B13/100)</f>
        <v>110.04750000000001</v>
      </c>
      <c r="C14" s="56">
        <f>(C12*365)*(C13/100)</f>
        <v>94.64085</v>
      </c>
      <c r="D14" s="56">
        <f>(D12*365)*(D13/100)</f>
        <v>80.334675000000004</v>
      </c>
      <c r="F14" s="29" t="s">
        <v>38</v>
      </c>
      <c r="G14" s="30">
        <v>97</v>
      </c>
      <c r="H14" s="30">
        <v>97</v>
      </c>
      <c r="I14" s="30">
        <v>97</v>
      </c>
      <c r="K14" s="27"/>
      <c r="L14" s="47" t="s">
        <v>65</v>
      </c>
      <c r="M14" s="27"/>
      <c r="N14" s="1"/>
    </row>
    <row r="15" spans="1:16" ht="30.75" thickBot="1" x14ac:dyDescent="0.3">
      <c r="A15" s="77" t="s">
        <v>78</v>
      </c>
      <c r="B15" s="91" t="s">
        <v>27</v>
      </c>
      <c r="C15" s="91">
        <f>B14-C14</f>
        <v>15.406650000000013</v>
      </c>
      <c r="D15" s="56">
        <f>B14-D14</f>
        <v>29.712825000000009</v>
      </c>
      <c r="F15" s="8" t="s">
        <v>39</v>
      </c>
      <c r="G15" s="80">
        <f>G13*G9*(G14/100)</f>
        <v>154.01174999999998</v>
      </c>
      <c r="H15" s="80">
        <f>H13*H9*(H14/100)</f>
        <v>132.45010500000001</v>
      </c>
      <c r="I15" s="80">
        <f>I13*I9*(I14/100)</f>
        <v>112.42857749999999</v>
      </c>
      <c r="K15" s="27"/>
      <c r="L15" s="27"/>
      <c r="M15" s="27"/>
      <c r="N15" s="1"/>
    </row>
    <row r="16" spans="1:16" ht="15.75" customHeight="1" thickBot="1" x14ac:dyDescent="0.3">
      <c r="A16" s="113" t="s">
        <v>71</v>
      </c>
      <c r="B16" s="114"/>
      <c r="C16" s="114"/>
      <c r="D16" s="115"/>
      <c r="F16" s="77" t="s">
        <v>79</v>
      </c>
      <c r="G16" s="91" t="s">
        <v>27</v>
      </c>
      <c r="H16" s="91">
        <f>G15-H15</f>
        <v>21.56164499999997</v>
      </c>
      <c r="I16" s="56">
        <f>G15-I15</f>
        <v>41.583172499999989</v>
      </c>
      <c r="K16" s="27"/>
      <c r="L16" s="27"/>
      <c r="M16" s="27"/>
      <c r="N16" s="50"/>
    </row>
    <row r="17" spans="1:15" ht="15.75" thickBot="1" x14ac:dyDescent="0.3">
      <c r="A17" s="52" t="s">
        <v>87</v>
      </c>
      <c r="B17" s="76">
        <f>B14+M8+M24</f>
        <v>5293.0475000000006</v>
      </c>
      <c r="C17" s="76">
        <f>C14+N8+N24</f>
        <v>3518.5841833333334</v>
      </c>
      <c r="D17" s="76">
        <f>D14+O8+O24</f>
        <v>3007.7563416666667</v>
      </c>
      <c r="F17" s="116" t="s">
        <v>72</v>
      </c>
      <c r="G17" s="117"/>
      <c r="H17" s="117"/>
      <c r="I17" s="118"/>
      <c r="K17" s="27"/>
      <c r="L17" s="112" t="s">
        <v>85</v>
      </c>
      <c r="M17" s="112"/>
      <c r="N17" s="112"/>
      <c r="O17" s="112"/>
    </row>
    <row r="18" spans="1:15" ht="16.5" thickTop="1" thickBot="1" x14ac:dyDescent="0.3">
      <c r="A18" s="77" t="s">
        <v>22</v>
      </c>
      <c r="B18" s="76" t="s">
        <v>23</v>
      </c>
      <c r="C18" s="76">
        <f>B17-C17</f>
        <v>1774.4633166666672</v>
      </c>
      <c r="D18" s="76">
        <f>B17-D17</f>
        <v>2285.2911583333339</v>
      </c>
      <c r="F18" s="119"/>
      <c r="G18" s="120"/>
      <c r="H18" s="120"/>
      <c r="I18" s="121"/>
      <c r="K18" s="27"/>
      <c r="L18" s="58"/>
      <c r="M18" s="59" t="s">
        <v>0</v>
      </c>
      <c r="N18" s="59" t="s">
        <v>1</v>
      </c>
      <c r="O18" s="60" t="s">
        <v>2</v>
      </c>
    </row>
    <row r="19" spans="1:15" ht="16.5" thickTop="1" thickBot="1" x14ac:dyDescent="0.3">
      <c r="A19" s="52" t="s">
        <v>24</v>
      </c>
      <c r="B19" s="45">
        <f>(B17/365)*0.241/3</f>
        <v>1.1649538333333334</v>
      </c>
      <c r="C19" s="45">
        <f>(C17/365)*0.241/3</f>
        <v>0.77440985222222214</v>
      </c>
      <c r="D19" s="45">
        <f>(D17/365)*0.241/3</f>
        <v>0.66198107611111112</v>
      </c>
      <c r="F19" s="52" t="s">
        <v>88</v>
      </c>
      <c r="G19" s="80">
        <f>G15</f>
        <v>154.01174999999998</v>
      </c>
      <c r="H19" s="80">
        <f>H15</f>
        <v>132.45010500000001</v>
      </c>
      <c r="I19" s="80">
        <f>I15</f>
        <v>112.42857749999999</v>
      </c>
      <c r="K19" s="1"/>
      <c r="L19" s="61" t="s">
        <v>5</v>
      </c>
      <c r="M19" s="61">
        <v>50</v>
      </c>
      <c r="N19" s="61">
        <v>50</v>
      </c>
      <c r="O19" s="61">
        <v>50</v>
      </c>
    </row>
    <row r="20" spans="1:15" ht="16.5" thickTop="1" thickBot="1" x14ac:dyDescent="0.3">
      <c r="A20" s="52" t="s">
        <v>25</v>
      </c>
      <c r="B20" s="41">
        <v>0.9</v>
      </c>
      <c r="C20" s="41">
        <v>0.9</v>
      </c>
      <c r="D20" s="41">
        <v>0.9</v>
      </c>
      <c r="F20" s="54" t="s">
        <v>40</v>
      </c>
      <c r="G20" s="30" t="s">
        <v>27</v>
      </c>
      <c r="H20" s="32">
        <f>G19-H19</f>
        <v>21.56164499999997</v>
      </c>
      <c r="I20" s="32">
        <f>G19-I19</f>
        <v>41.583172499999989</v>
      </c>
      <c r="K20" s="1"/>
      <c r="L20" s="58" t="s">
        <v>10</v>
      </c>
      <c r="M20" s="70">
        <v>2</v>
      </c>
      <c r="N20" s="70">
        <v>2</v>
      </c>
      <c r="O20" s="71">
        <v>2</v>
      </c>
    </row>
    <row r="21" spans="1:15" ht="15.75" thickBot="1" x14ac:dyDescent="0.3">
      <c r="A21" s="77" t="s">
        <v>26</v>
      </c>
      <c r="B21" s="41" t="s">
        <v>27</v>
      </c>
      <c r="C21" s="45">
        <f>(B19-C19)*C20</f>
        <v>0.35148958300000011</v>
      </c>
      <c r="D21" s="45">
        <f>(B19-D19)*D20</f>
        <v>0.45267548150000003</v>
      </c>
      <c r="F21" s="29" t="s">
        <v>87</v>
      </c>
      <c r="G21" s="32">
        <f>M8+M24</f>
        <v>5183.0000000000009</v>
      </c>
      <c r="H21" s="32">
        <f>N8+N24</f>
        <v>3423.9433333333336</v>
      </c>
      <c r="I21" s="32">
        <f>O8+O24</f>
        <v>2927.4216666666666</v>
      </c>
      <c r="K21" s="1"/>
      <c r="L21" s="42" t="s">
        <v>13</v>
      </c>
      <c r="M21" s="41">
        <v>12</v>
      </c>
      <c r="N21" s="41">
        <v>12</v>
      </c>
      <c r="O21" s="41">
        <v>12</v>
      </c>
    </row>
    <row r="22" spans="1:15" ht="16.5" thickTop="1" thickBot="1" x14ac:dyDescent="0.3">
      <c r="A22" s="42" t="s">
        <v>28</v>
      </c>
      <c r="B22" s="46">
        <f>B17*B11</f>
        <v>688.09617500000013</v>
      </c>
      <c r="C22" s="46">
        <f>C17*C11</f>
        <v>457.41594383333336</v>
      </c>
      <c r="D22" s="46">
        <f>D17*D11</f>
        <v>391.00832441666671</v>
      </c>
      <c r="F22" s="8" t="s">
        <v>22</v>
      </c>
      <c r="G22" s="32" t="s">
        <v>27</v>
      </c>
      <c r="H22" s="32">
        <f>G21-H21</f>
        <v>1759.0566666666673</v>
      </c>
      <c r="I22" s="32">
        <f>G21-I21</f>
        <v>2255.5783333333343</v>
      </c>
      <c r="L22" s="62" t="s">
        <v>11</v>
      </c>
      <c r="M22" s="62">
        <v>0.9</v>
      </c>
      <c r="N22" s="63">
        <v>0.5</v>
      </c>
      <c r="O22" s="63">
        <v>0.43</v>
      </c>
    </row>
    <row r="23" spans="1:15" ht="16.5" thickTop="1" thickBot="1" x14ac:dyDescent="0.3">
      <c r="A23" s="43" t="s">
        <v>29</v>
      </c>
      <c r="B23" s="41" t="s">
        <v>27</v>
      </c>
      <c r="C23" s="46">
        <f>B22-C22</f>
        <v>230.68023116666677</v>
      </c>
      <c r="D23" s="46">
        <f>B22-D22</f>
        <v>297.08785058333342</v>
      </c>
      <c r="F23" s="81" t="s">
        <v>24</v>
      </c>
      <c r="G23" s="82">
        <f>(G21/365)*0.241/3</f>
        <v>1.1407333333333336</v>
      </c>
      <c r="H23" s="82">
        <f>(H21/365)*0.241/3</f>
        <v>0.75358022222222232</v>
      </c>
      <c r="I23" s="82">
        <f>(I21/365)*0.241/3</f>
        <v>0.64430011111111107</v>
      </c>
      <c r="L23" s="63" t="s">
        <v>17</v>
      </c>
      <c r="M23" s="73">
        <f>(M21-(M19*M20)/60)*M22</f>
        <v>9.3000000000000007</v>
      </c>
      <c r="N23" s="73">
        <f t="shared" ref="N23:O23" si="7">(N21-(N19*N20)/60)*N22</f>
        <v>5.166666666666667</v>
      </c>
      <c r="O23" s="73">
        <f t="shared" si="7"/>
        <v>4.4433333333333334</v>
      </c>
    </row>
    <row r="24" spans="1:15" ht="16.5" thickTop="1" thickBot="1" x14ac:dyDescent="0.3">
      <c r="A24" s="42" t="s">
        <v>30</v>
      </c>
      <c r="B24" s="41">
        <v>12</v>
      </c>
      <c r="C24" s="41">
        <v>12</v>
      </c>
      <c r="D24" s="41">
        <v>12</v>
      </c>
      <c r="F24" s="81" t="s">
        <v>25</v>
      </c>
      <c r="G24" s="83">
        <v>0.9</v>
      </c>
      <c r="H24" s="83">
        <v>0.9</v>
      </c>
      <c r="I24" s="83">
        <v>0.9</v>
      </c>
      <c r="L24" s="88" t="s">
        <v>34</v>
      </c>
      <c r="M24" s="72">
        <f>M23*365</f>
        <v>3394.5000000000005</v>
      </c>
      <c r="N24" s="72">
        <f t="shared" ref="N24:O24" si="8">N23*365</f>
        <v>1885.8333333333335</v>
      </c>
      <c r="O24" s="72">
        <f t="shared" si="8"/>
        <v>1621.8166666666666</v>
      </c>
    </row>
    <row r="25" spans="1:15" ht="15.75" thickBot="1" x14ac:dyDescent="0.3">
      <c r="F25" s="54" t="s">
        <v>26</v>
      </c>
      <c r="G25" s="85" t="s">
        <v>27</v>
      </c>
      <c r="H25" s="86">
        <f>(G23-H23)*H24</f>
        <v>0.34843780000000019</v>
      </c>
      <c r="I25" s="86">
        <f>(G23-I23)*I24</f>
        <v>0.4467899000000003</v>
      </c>
      <c r="L25" s="77" t="s">
        <v>80</v>
      </c>
      <c r="M25" s="91" t="s">
        <v>27</v>
      </c>
      <c r="N25" s="91">
        <f>M24-N24</f>
        <v>1508.666666666667</v>
      </c>
      <c r="O25" s="56">
        <f>M24-O24</f>
        <v>1772.6833333333338</v>
      </c>
    </row>
    <row r="26" spans="1:15" ht="15.75" thickBot="1" x14ac:dyDescent="0.3">
      <c r="F26" s="84" t="s">
        <v>28</v>
      </c>
      <c r="G26" s="87">
        <f>(G19*G11)+(G21*G12)</f>
        <v>827.8017500000002</v>
      </c>
      <c r="H26" s="87">
        <f>(H19*H11)+(H21*H12)</f>
        <v>577.56273833333341</v>
      </c>
      <c r="I26" s="87">
        <f>(I19*I11)+(I21*I12)</f>
        <v>492.99339416666669</v>
      </c>
    </row>
    <row r="27" spans="1:15" ht="15.75" thickBot="1" x14ac:dyDescent="0.3">
      <c r="F27" s="54" t="s">
        <v>29</v>
      </c>
      <c r="G27" s="85" t="s">
        <v>27</v>
      </c>
      <c r="H27" s="87">
        <f>G26-H26</f>
        <v>250.23901166666678</v>
      </c>
      <c r="I27" s="87">
        <f>G26-I26</f>
        <v>334.80835583333351</v>
      </c>
    </row>
    <row r="28" spans="1:15" ht="15.75" thickBot="1" x14ac:dyDescent="0.3">
      <c r="F28" s="29" t="s">
        <v>30</v>
      </c>
      <c r="G28" s="7">
        <v>12</v>
      </c>
      <c r="H28" s="7">
        <f>G28</f>
        <v>12</v>
      </c>
      <c r="I28" s="7">
        <f>G28</f>
        <v>12</v>
      </c>
    </row>
    <row r="29" spans="1:15" x14ac:dyDescent="0.25">
      <c r="A29" s="107"/>
    </row>
    <row r="31" spans="1:15" x14ac:dyDescent="0.25">
      <c r="F31" s="53"/>
    </row>
    <row r="33" spans="1:3" x14ac:dyDescent="0.25">
      <c r="A33" s="92" t="s">
        <v>75</v>
      </c>
      <c r="B33" s="93"/>
      <c r="C33" s="94"/>
    </row>
    <row r="34" spans="1:3" x14ac:dyDescent="0.25">
      <c r="A34" s="95"/>
      <c r="B34" s="90" t="s">
        <v>45</v>
      </c>
      <c r="C34" s="96" t="s">
        <v>46</v>
      </c>
    </row>
    <row r="35" spans="1:3" x14ac:dyDescent="0.25">
      <c r="A35" s="95" t="s">
        <v>76</v>
      </c>
      <c r="B35" s="97">
        <f>C15+N9+N25</f>
        <v>1774.4633166666672</v>
      </c>
      <c r="C35" s="98">
        <f>D15+O9+O25</f>
        <v>2285.2911583333344</v>
      </c>
    </row>
    <row r="36" spans="1:3" x14ac:dyDescent="0.25">
      <c r="A36" s="99" t="s">
        <v>77</v>
      </c>
      <c r="B36" s="100">
        <f>H16</f>
        <v>21.56164499999997</v>
      </c>
      <c r="C36" s="101">
        <f>I16</f>
        <v>41.583172499999989</v>
      </c>
    </row>
  </sheetData>
  <mergeCells count="6">
    <mergeCell ref="F1:I1"/>
    <mergeCell ref="A1:D1"/>
    <mergeCell ref="L1:O1"/>
    <mergeCell ref="A16:D16"/>
    <mergeCell ref="L17:O17"/>
    <mergeCell ref="F17:I18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0"/>
  <sheetViews>
    <sheetView zoomScaleNormal="100" workbookViewId="0">
      <selection activeCell="C36" sqref="C36"/>
    </sheetView>
  </sheetViews>
  <sheetFormatPr defaultRowHeight="15.75" customHeight="1" x14ac:dyDescent="0.25"/>
  <cols>
    <col min="1" max="1" width="53.5703125" bestFit="1" customWidth="1"/>
    <col min="2" max="2" width="9.7109375" bestFit="1" customWidth="1"/>
    <col min="3" max="4" width="19" bestFit="1" customWidth="1"/>
    <col min="6" max="6" width="54" bestFit="1" customWidth="1"/>
    <col min="7" max="7" width="9.7109375" bestFit="1" customWidth="1"/>
    <col min="8" max="9" width="19" bestFit="1" customWidth="1"/>
    <col min="11" max="11" width="9.140625" style="1"/>
    <col min="12" max="12" width="40.140625" bestFit="1" customWidth="1"/>
    <col min="13" max="13" width="9.7109375" bestFit="1" customWidth="1"/>
    <col min="14" max="15" width="19" bestFit="1" customWidth="1"/>
  </cols>
  <sheetData>
    <row r="1" spans="1:15" ht="15.75" customHeight="1" thickBot="1" x14ac:dyDescent="0.3">
      <c r="A1" s="110" t="s">
        <v>68</v>
      </c>
      <c r="B1" s="110"/>
      <c r="C1" s="110"/>
      <c r="D1" s="110"/>
      <c r="F1" s="122" t="s">
        <v>69</v>
      </c>
      <c r="G1" s="122"/>
      <c r="H1" s="122"/>
      <c r="I1" s="122"/>
      <c r="L1" s="112" t="s">
        <v>81</v>
      </c>
      <c r="M1" s="112"/>
      <c r="N1" s="112"/>
      <c r="O1" s="112"/>
    </row>
    <row r="2" spans="1:15" ht="15.75" customHeight="1" thickTop="1" thickBot="1" x14ac:dyDescent="0.3">
      <c r="A2" s="3"/>
      <c r="B2" s="51" t="s">
        <v>0</v>
      </c>
      <c r="C2" s="51" t="s">
        <v>1</v>
      </c>
      <c r="D2" s="37" t="s">
        <v>2</v>
      </c>
      <c r="F2" s="3"/>
      <c r="G2" s="51" t="s">
        <v>0</v>
      </c>
      <c r="H2" s="51" t="s">
        <v>1</v>
      </c>
      <c r="I2" s="37" t="s">
        <v>2</v>
      </c>
      <c r="J2" s="28"/>
      <c r="L2" s="58"/>
      <c r="M2" s="59" t="s">
        <v>0</v>
      </c>
      <c r="N2" s="59" t="s">
        <v>1</v>
      </c>
      <c r="O2" s="60" t="s">
        <v>2</v>
      </c>
    </row>
    <row r="3" spans="1:15" ht="15.75" customHeight="1" thickTop="1" thickBot="1" x14ac:dyDescent="0.3">
      <c r="A3" s="5" t="s">
        <v>3</v>
      </c>
      <c r="B3" s="6">
        <v>0.20100000000000001</v>
      </c>
      <c r="C3" s="6">
        <v>0.20100000000000001</v>
      </c>
      <c r="D3" s="6">
        <v>0.20100000000000001</v>
      </c>
      <c r="F3" s="25" t="s">
        <v>35</v>
      </c>
      <c r="G3" s="7">
        <v>8.6999999999999994E-3</v>
      </c>
      <c r="H3" s="7">
        <v>8.6999999999999994E-3</v>
      </c>
      <c r="I3" s="7">
        <v>8.6999999999999994E-3</v>
      </c>
      <c r="J3" s="123"/>
      <c r="L3" s="61" t="s">
        <v>5</v>
      </c>
      <c r="M3" s="61">
        <v>50</v>
      </c>
      <c r="N3" s="61">
        <v>50</v>
      </c>
      <c r="O3" s="61">
        <v>50</v>
      </c>
    </row>
    <row r="4" spans="1:15" ht="15.75" customHeight="1" thickTop="1" thickBot="1" x14ac:dyDescent="0.3">
      <c r="A4" s="33" t="s">
        <v>5</v>
      </c>
      <c r="B4" s="30">
        <v>50</v>
      </c>
      <c r="C4" s="30">
        <v>50</v>
      </c>
      <c r="D4" s="30">
        <v>50</v>
      </c>
      <c r="E4" s="48"/>
      <c r="F4" s="29" t="s">
        <v>5</v>
      </c>
      <c r="G4" s="30">
        <f t="shared" ref="G4:I6" si="0">B4</f>
        <v>50</v>
      </c>
      <c r="H4" s="30">
        <f t="shared" si="0"/>
        <v>50</v>
      </c>
      <c r="I4" s="30">
        <f t="shared" si="0"/>
        <v>50</v>
      </c>
      <c r="J4" s="123"/>
      <c r="L4" s="58" t="s">
        <v>10</v>
      </c>
      <c r="M4" s="70">
        <v>2</v>
      </c>
      <c r="N4" s="70">
        <v>2</v>
      </c>
      <c r="O4" s="71">
        <v>2</v>
      </c>
    </row>
    <row r="5" spans="1:15" ht="15.75" customHeight="1" thickBot="1" x14ac:dyDescent="0.3">
      <c r="A5" s="33" t="s">
        <v>6</v>
      </c>
      <c r="B5" s="34">
        <f>B4*365</f>
        <v>18250</v>
      </c>
      <c r="C5" s="34">
        <f t="shared" ref="C5:D5" si="1">C4*365</f>
        <v>18250</v>
      </c>
      <c r="D5" s="34">
        <f t="shared" si="1"/>
        <v>18250</v>
      </c>
      <c r="E5" s="48"/>
      <c r="F5" s="29" t="s">
        <v>6</v>
      </c>
      <c r="G5" s="30">
        <f t="shared" si="0"/>
        <v>18250</v>
      </c>
      <c r="H5" s="30">
        <f t="shared" si="0"/>
        <v>18250</v>
      </c>
      <c r="I5" s="30">
        <f t="shared" si="0"/>
        <v>18250</v>
      </c>
      <c r="J5" s="123"/>
      <c r="L5" s="42" t="s">
        <v>13</v>
      </c>
      <c r="M5" s="41">
        <v>12</v>
      </c>
      <c r="N5" s="41">
        <v>12</v>
      </c>
      <c r="O5" s="41">
        <v>12</v>
      </c>
    </row>
    <row r="6" spans="1:15" ht="15.75" customHeight="1" thickTop="1" thickBot="1" x14ac:dyDescent="0.3">
      <c r="A6" s="108" t="s">
        <v>7</v>
      </c>
      <c r="B6" s="49">
        <v>1.7</v>
      </c>
      <c r="C6" s="49">
        <v>1.19</v>
      </c>
      <c r="D6" s="31">
        <v>1.01</v>
      </c>
      <c r="E6" s="48"/>
      <c r="F6" s="84" t="s">
        <v>7</v>
      </c>
      <c r="G6" s="31">
        <f t="shared" si="0"/>
        <v>1.7</v>
      </c>
      <c r="H6" s="31">
        <f t="shared" si="0"/>
        <v>1.19</v>
      </c>
      <c r="I6" s="31">
        <f t="shared" si="0"/>
        <v>1.01</v>
      </c>
      <c r="J6" s="123"/>
      <c r="L6" s="62" t="s">
        <v>11</v>
      </c>
      <c r="M6" s="62">
        <v>0.5</v>
      </c>
      <c r="N6" s="63">
        <v>0.5</v>
      </c>
      <c r="O6" s="63">
        <v>0.43</v>
      </c>
    </row>
    <row r="7" spans="1:15" ht="15.75" customHeight="1" thickTop="1" thickBot="1" x14ac:dyDescent="0.3">
      <c r="A7" s="106" t="s">
        <v>8</v>
      </c>
      <c r="B7" s="40">
        <f>B6*B4</f>
        <v>85</v>
      </c>
      <c r="C7" s="40">
        <f t="shared" ref="C7:D7" si="2">C6*C4</f>
        <v>59.5</v>
      </c>
      <c r="D7" s="40">
        <f t="shared" si="2"/>
        <v>50.5</v>
      </c>
      <c r="F7" s="106" t="s">
        <v>8</v>
      </c>
      <c r="G7" s="12">
        <f>G6*G4</f>
        <v>85</v>
      </c>
      <c r="H7" s="7">
        <f t="shared" ref="H7:I7" si="3">H6*H4</f>
        <v>59.5</v>
      </c>
      <c r="I7" s="12">
        <f t="shared" si="3"/>
        <v>50.5</v>
      </c>
      <c r="J7" s="123"/>
      <c r="L7" s="63" t="s">
        <v>17</v>
      </c>
      <c r="M7" s="73">
        <f>(M5-(M3*M4)/60)*M6</f>
        <v>5.166666666666667</v>
      </c>
      <c r="N7" s="73">
        <f t="shared" ref="N7:O7" si="4">(N5-(N3*N4)/60)*N6</f>
        <v>5.166666666666667</v>
      </c>
      <c r="O7" s="73">
        <f t="shared" si="4"/>
        <v>4.4433333333333334</v>
      </c>
    </row>
    <row r="8" spans="1:15" ht="15.75" customHeight="1" thickTop="1" thickBot="1" x14ac:dyDescent="0.3">
      <c r="A8" s="106" t="s">
        <v>10</v>
      </c>
      <c r="B8" s="6">
        <v>2</v>
      </c>
      <c r="C8" s="6">
        <v>2</v>
      </c>
      <c r="D8" s="6">
        <v>2</v>
      </c>
      <c r="F8" s="25" t="s">
        <v>10</v>
      </c>
      <c r="G8" s="7">
        <v>2</v>
      </c>
      <c r="H8" s="7">
        <v>2</v>
      </c>
      <c r="I8" s="7">
        <v>2</v>
      </c>
      <c r="J8" s="123"/>
      <c r="L8" s="88" t="s">
        <v>34</v>
      </c>
      <c r="M8" s="72">
        <f>M7*365</f>
        <v>1885.8333333333335</v>
      </c>
      <c r="N8" s="72">
        <f t="shared" ref="N8:O8" si="5">N7*365</f>
        <v>1885.8333333333335</v>
      </c>
      <c r="O8" s="72">
        <f t="shared" si="5"/>
        <v>1621.8166666666666</v>
      </c>
    </row>
    <row r="9" spans="1:15" ht="15.75" customHeight="1" thickBot="1" x14ac:dyDescent="0.3">
      <c r="A9" s="5" t="s">
        <v>12</v>
      </c>
      <c r="B9" s="6">
        <v>365</v>
      </c>
      <c r="C9" s="6">
        <v>365</v>
      </c>
      <c r="D9" s="7">
        <v>365</v>
      </c>
      <c r="F9" s="25" t="s">
        <v>12</v>
      </c>
      <c r="G9" s="7">
        <v>365</v>
      </c>
      <c r="H9" s="7">
        <v>365</v>
      </c>
      <c r="I9" s="7">
        <v>365</v>
      </c>
      <c r="J9" s="123"/>
      <c r="L9" s="77" t="s">
        <v>80</v>
      </c>
      <c r="M9" s="91" t="s">
        <v>27</v>
      </c>
      <c r="N9" s="91">
        <f>M8-N8</f>
        <v>0</v>
      </c>
      <c r="O9" s="56">
        <f>M8-O8</f>
        <v>264.01666666666688</v>
      </c>
    </row>
    <row r="10" spans="1:15" ht="15.75" customHeight="1" thickBot="1" x14ac:dyDescent="0.3">
      <c r="A10" s="5" t="s">
        <v>13</v>
      </c>
      <c r="B10" s="6">
        <v>12</v>
      </c>
      <c r="C10" s="6">
        <v>12</v>
      </c>
      <c r="D10" s="7">
        <v>12</v>
      </c>
      <c r="F10" s="25" t="s">
        <v>13</v>
      </c>
      <c r="G10" s="7">
        <v>12</v>
      </c>
      <c r="H10" s="7">
        <v>12</v>
      </c>
      <c r="I10" s="7">
        <v>12</v>
      </c>
      <c r="J10" s="123"/>
      <c r="L10" s="1"/>
    </row>
    <row r="11" spans="1:15" ht="15.75" customHeight="1" thickBot="1" x14ac:dyDescent="0.3">
      <c r="A11" s="5" t="s">
        <v>14</v>
      </c>
      <c r="B11" s="6">
        <v>0.13</v>
      </c>
      <c r="C11" s="6">
        <v>0.13</v>
      </c>
      <c r="D11" s="7">
        <v>0.13</v>
      </c>
      <c r="F11" s="25" t="s">
        <v>36</v>
      </c>
      <c r="G11" s="7">
        <v>1</v>
      </c>
      <c r="H11" s="7">
        <v>1</v>
      </c>
      <c r="I11" s="7">
        <v>1</v>
      </c>
      <c r="J11" s="123"/>
      <c r="L11" s="1"/>
    </row>
    <row r="12" spans="1:15" ht="15.75" customHeight="1" thickBot="1" x14ac:dyDescent="0.3">
      <c r="A12" s="5" t="s">
        <v>31</v>
      </c>
      <c r="B12" s="109">
        <f>B7*B3</f>
        <v>17.085000000000001</v>
      </c>
      <c r="C12" s="109">
        <f>C7*C3</f>
        <v>11.9595</v>
      </c>
      <c r="D12" s="109">
        <f>D7*D3</f>
        <v>10.150500000000001</v>
      </c>
      <c r="F12" s="5" t="s">
        <v>14</v>
      </c>
      <c r="G12" s="6">
        <v>0.13</v>
      </c>
      <c r="H12" s="6">
        <v>0.13</v>
      </c>
      <c r="I12" s="7">
        <v>0.13</v>
      </c>
      <c r="J12" s="123"/>
      <c r="L12" s="1"/>
    </row>
    <row r="13" spans="1:15" ht="15.75" customHeight="1" thickBot="1" x14ac:dyDescent="0.3">
      <c r="A13" s="42" t="s">
        <v>18</v>
      </c>
      <c r="B13" s="41">
        <v>3</v>
      </c>
      <c r="C13" s="41">
        <v>3</v>
      </c>
      <c r="D13" s="41">
        <v>3</v>
      </c>
      <c r="F13" s="25" t="s">
        <v>41</v>
      </c>
      <c r="G13" s="17">
        <f>G7*G3</f>
        <v>0.73949999999999994</v>
      </c>
      <c r="H13" s="17">
        <f>H7*H3</f>
        <v>0.51764999999999994</v>
      </c>
      <c r="I13" s="17">
        <f>I7*I3</f>
        <v>0.43934999999999996</v>
      </c>
      <c r="J13" s="123"/>
      <c r="L13" s="1"/>
    </row>
    <row r="14" spans="1:15" ht="15.75" customHeight="1" thickBot="1" x14ac:dyDescent="0.3">
      <c r="A14" s="55" t="s">
        <v>20</v>
      </c>
      <c r="B14" s="11">
        <f>(B12*B9)*(B13/100)</f>
        <v>187.08075000000002</v>
      </c>
      <c r="C14" s="11">
        <f t="shared" ref="C14:D14" si="6">(C12*C9)*(C13/100)</f>
        <v>130.956525</v>
      </c>
      <c r="D14" s="11">
        <f t="shared" si="6"/>
        <v>111.147975</v>
      </c>
      <c r="F14" s="29" t="s">
        <v>59</v>
      </c>
      <c r="G14" s="35">
        <f>G13*365*(G20/100)</f>
        <v>261.81997499999994</v>
      </c>
      <c r="H14" s="35">
        <f>H13*365*(H20/100)</f>
        <v>183.27398249999996</v>
      </c>
      <c r="I14" s="35">
        <f>I13*365*(I20/100)</f>
        <v>155.55186749999999</v>
      </c>
      <c r="J14" s="123"/>
      <c r="L14" s="1"/>
    </row>
    <row r="15" spans="1:15" ht="15.75" customHeight="1" thickBot="1" x14ac:dyDescent="0.3">
      <c r="A15" s="77" t="s">
        <v>78</v>
      </c>
      <c r="B15" s="91" t="s">
        <v>27</v>
      </c>
      <c r="C15" s="91">
        <f>B14-C14</f>
        <v>56.124225000000024</v>
      </c>
      <c r="D15" s="56">
        <f>B14-D14</f>
        <v>75.932775000000021</v>
      </c>
      <c r="F15" s="8" t="s">
        <v>40</v>
      </c>
      <c r="G15" s="9" t="s">
        <v>27</v>
      </c>
      <c r="H15" s="16">
        <f>G14-H14</f>
        <v>78.545992499999983</v>
      </c>
      <c r="I15" s="16">
        <f>G14-I14</f>
        <v>106.26810749999996</v>
      </c>
      <c r="J15" s="123"/>
      <c r="L15" s="1"/>
    </row>
    <row r="16" spans="1:15" ht="15.75" customHeight="1" thickBot="1" x14ac:dyDescent="0.3">
      <c r="A16" s="113" t="s">
        <v>82</v>
      </c>
      <c r="B16" s="114"/>
      <c r="C16" s="114"/>
      <c r="D16" s="115"/>
      <c r="F16" s="113" t="s">
        <v>83</v>
      </c>
      <c r="G16" s="114"/>
      <c r="H16" s="114"/>
      <c r="I16" s="115"/>
      <c r="J16" s="123"/>
      <c r="L16" s="1"/>
    </row>
    <row r="17" spans="1:12" ht="15.75" customHeight="1" thickBot="1" x14ac:dyDescent="0.3">
      <c r="A17" s="26" t="s">
        <v>25</v>
      </c>
      <c r="B17" s="4">
        <v>0.9</v>
      </c>
      <c r="C17" s="4">
        <v>0.9</v>
      </c>
      <c r="D17" s="4">
        <v>0.9</v>
      </c>
      <c r="F17" s="26" t="s">
        <v>25</v>
      </c>
      <c r="G17" s="4">
        <v>0.9</v>
      </c>
      <c r="H17" s="4">
        <v>0.9</v>
      </c>
      <c r="I17" s="4">
        <v>0.9</v>
      </c>
      <c r="J17" s="1"/>
      <c r="L17" s="1"/>
    </row>
    <row r="18" spans="1:12" ht="15.75" customHeight="1" thickBot="1" x14ac:dyDescent="0.3">
      <c r="A18" s="5" t="s">
        <v>32</v>
      </c>
      <c r="B18" s="13">
        <f>(B21/365)*0.241/3</f>
        <v>0.45623040555555555</v>
      </c>
      <c r="C18" s="13">
        <f t="shared" ref="C18:D18" si="7">(C21/365)*0.241/3</f>
        <v>0.44387795055555562</v>
      </c>
      <c r="D18" s="13">
        <f t="shared" si="7"/>
        <v>0.38141048277777778</v>
      </c>
      <c r="F18" s="5" t="s">
        <v>32</v>
      </c>
      <c r="G18" s="13">
        <f>(G23/365)*0.241/3</f>
        <v>0.41505555555555557</v>
      </c>
      <c r="H18" s="13">
        <f t="shared" ref="H18:I18" si="8">(H23/365)*0.241/3</f>
        <v>0.41505555555555557</v>
      </c>
      <c r="I18" s="13">
        <f t="shared" si="8"/>
        <v>0.35694777777777781</v>
      </c>
      <c r="J18" s="1"/>
      <c r="L18" s="1"/>
    </row>
    <row r="19" spans="1:12" ht="15.75" customHeight="1" thickBot="1" x14ac:dyDescent="0.3">
      <c r="A19" s="5" t="s">
        <v>33</v>
      </c>
      <c r="B19" s="2"/>
      <c r="C19" s="14">
        <f>(B18-C18)*0.9</f>
        <v>1.1117209499999937E-2</v>
      </c>
      <c r="D19" s="13">
        <f>(B18-D18)*0.9</f>
        <v>6.733793049999999E-2</v>
      </c>
      <c r="F19" s="5" t="s">
        <v>33</v>
      </c>
      <c r="G19" s="2"/>
      <c r="H19" s="14">
        <f>G18-H18</f>
        <v>0</v>
      </c>
      <c r="I19" s="13">
        <f>(G18-I18)*I17</f>
        <v>5.2296999999999982E-2</v>
      </c>
    </row>
    <row r="20" spans="1:12" ht="15.75" customHeight="1" thickBot="1" x14ac:dyDescent="0.3">
      <c r="A20" s="5" t="s">
        <v>18</v>
      </c>
      <c r="B20" s="6">
        <v>3</v>
      </c>
      <c r="C20" s="6">
        <v>3</v>
      </c>
      <c r="D20" s="7">
        <v>3</v>
      </c>
      <c r="F20" s="29" t="s">
        <v>38</v>
      </c>
      <c r="G20" s="30">
        <v>97</v>
      </c>
      <c r="H20" s="30">
        <v>97</v>
      </c>
      <c r="I20" s="30">
        <v>97</v>
      </c>
    </row>
    <row r="21" spans="1:12" ht="15.75" customHeight="1" thickBot="1" x14ac:dyDescent="0.3">
      <c r="A21" s="5" t="s">
        <v>20</v>
      </c>
      <c r="B21" s="11">
        <f>B14+M8</f>
        <v>2072.9140833333336</v>
      </c>
      <c r="C21" s="11">
        <f t="shared" ref="C21:D21" si="9">C14+N8</f>
        <v>2016.7898583333335</v>
      </c>
      <c r="D21" s="11">
        <f t="shared" si="9"/>
        <v>1732.9646416666667</v>
      </c>
      <c r="F21" s="29" t="s">
        <v>59</v>
      </c>
      <c r="G21" s="35">
        <f>G13*365*(G20/100)</f>
        <v>261.81997499999994</v>
      </c>
      <c r="H21" s="35">
        <f>H13*365*(H20/100)</f>
        <v>183.27398249999996</v>
      </c>
      <c r="I21" s="35">
        <f>I13*365*(I20/100)</f>
        <v>155.55186749999999</v>
      </c>
    </row>
    <row r="22" spans="1:12" ht="15.75" customHeight="1" thickBot="1" x14ac:dyDescent="0.3">
      <c r="A22" s="77" t="s">
        <v>22</v>
      </c>
      <c r="B22" s="76" t="s">
        <v>23</v>
      </c>
      <c r="C22" s="76">
        <f>B21-C21</f>
        <v>56.124225000000024</v>
      </c>
      <c r="D22" s="76">
        <f>B21-D21</f>
        <v>339.94944166666687</v>
      </c>
      <c r="F22" s="8" t="s">
        <v>40</v>
      </c>
      <c r="G22" s="9" t="s">
        <v>27</v>
      </c>
      <c r="H22" s="16">
        <f>G21-H21</f>
        <v>78.545992499999983</v>
      </c>
      <c r="I22" s="16">
        <f>G21-I21</f>
        <v>106.26810749999996</v>
      </c>
    </row>
    <row r="23" spans="1:12" ht="15.75" customHeight="1" thickBot="1" x14ac:dyDescent="0.3">
      <c r="A23" s="23" t="s">
        <v>28</v>
      </c>
      <c r="B23" s="15">
        <f>B21*B11</f>
        <v>269.47883083333335</v>
      </c>
      <c r="C23" s="15">
        <f>C21*C11</f>
        <v>262.18268158333336</v>
      </c>
      <c r="D23" s="15">
        <f>D21*D11</f>
        <v>225.28540341666667</v>
      </c>
      <c r="F23" s="5" t="s">
        <v>62</v>
      </c>
      <c r="G23" s="32">
        <f>M7*G9</f>
        <v>1885.8333333333335</v>
      </c>
      <c r="H23" s="32">
        <f t="shared" ref="H23:I23" si="10">N7*H9</f>
        <v>1885.8333333333335</v>
      </c>
      <c r="I23" s="32">
        <f t="shared" si="10"/>
        <v>1621.8166666666666</v>
      </c>
    </row>
    <row r="24" spans="1:12" ht="15.75" customHeight="1" thickBot="1" x14ac:dyDescent="0.3">
      <c r="A24" s="23" t="s">
        <v>29</v>
      </c>
      <c r="B24" s="10" t="s">
        <v>27</v>
      </c>
      <c r="C24" s="15">
        <f>B23-C23</f>
        <v>7.2961492499999849</v>
      </c>
      <c r="D24" s="16">
        <f>B23-D23</f>
        <v>44.19342741666668</v>
      </c>
      <c r="F24" s="8" t="s">
        <v>60</v>
      </c>
      <c r="G24" s="16"/>
      <c r="H24" s="16">
        <f>G23-H23</f>
        <v>0</v>
      </c>
      <c r="I24" s="16">
        <f>H23-I23</f>
        <v>264.01666666666688</v>
      </c>
    </row>
    <row r="25" spans="1:12" ht="15.75" customHeight="1" thickBot="1" x14ac:dyDescent="0.3">
      <c r="A25" s="5" t="s">
        <v>30</v>
      </c>
      <c r="B25" s="6">
        <v>12</v>
      </c>
      <c r="C25" s="6">
        <v>12</v>
      </c>
      <c r="D25" s="7">
        <v>12</v>
      </c>
      <c r="F25" s="29" t="s">
        <v>28</v>
      </c>
      <c r="G25" s="32">
        <f>(G21*G11)+(G23*G12)</f>
        <v>506.9783083333333</v>
      </c>
      <c r="H25" s="32">
        <f>(H21*H11)+(H23*H12)</f>
        <v>428.43231583333329</v>
      </c>
      <c r="I25" s="32">
        <f>(I21*I11)+(I23*I12)</f>
        <v>366.38803416666667</v>
      </c>
    </row>
    <row r="26" spans="1:12" ht="15.75" customHeight="1" thickBot="1" x14ac:dyDescent="0.3">
      <c r="F26" s="29" t="s">
        <v>29</v>
      </c>
      <c r="G26" s="30" t="s">
        <v>27</v>
      </c>
      <c r="H26" s="32">
        <f>G25-H25</f>
        <v>78.545992500000011</v>
      </c>
      <c r="I26" s="32">
        <f>G25-I25</f>
        <v>140.59027416666663</v>
      </c>
    </row>
    <row r="27" spans="1:12" ht="15.75" customHeight="1" thickBot="1" x14ac:dyDescent="0.3">
      <c r="F27" s="25" t="s">
        <v>30</v>
      </c>
      <c r="G27" s="7">
        <v>12</v>
      </c>
      <c r="H27" s="7">
        <v>12</v>
      </c>
      <c r="I27" s="7">
        <v>12</v>
      </c>
    </row>
    <row r="29" spans="1:12" ht="15.75" customHeight="1" x14ac:dyDescent="0.25">
      <c r="A29" s="53"/>
    </row>
    <row r="30" spans="1:12" ht="15.75" customHeight="1" x14ac:dyDescent="0.25">
      <c r="A30" s="89"/>
    </row>
    <row r="33" spans="1:3" ht="15.75" customHeight="1" x14ac:dyDescent="0.25">
      <c r="A33" s="92" t="s">
        <v>75</v>
      </c>
      <c r="B33" s="93"/>
      <c r="C33" s="94"/>
    </row>
    <row r="34" spans="1:3" ht="15.75" customHeight="1" x14ac:dyDescent="0.25">
      <c r="A34" s="95"/>
      <c r="B34" s="90" t="s">
        <v>45</v>
      </c>
      <c r="C34" s="96" t="s">
        <v>46</v>
      </c>
    </row>
    <row r="35" spans="1:3" ht="15.75" customHeight="1" x14ac:dyDescent="0.25">
      <c r="A35" s="95" t="s">
        <v>76</v>
      </c>
      <c r="B35" s="97">
        <f>C15+N9</f>
        <v>56.124225000000024</v>
      </c>
      <c r="C35" s="98">
        <f>D15+O9</f>
        <v>339.94944166666687</v>
      </c>
    </row>
    <row r="36" spans="1:3" ht="15.75" customHeight="1" x14ac:dyDescent="0.25">
      <c r="A36" s="99" t="s">
        <v>77</v>
      </c>
      <c r="B36" s="100">
        <f>H22</f>
        <v>78.545992499999983</v>
      </c>
      <c r="C36" s="101">
        <f>I22</f>
        <v>106.26810749999996</v>
      </c>
    </row>
    <row r="40" spans="1:3" ht="15" x14ac:dyDescent="0.25"/>
  </sheetData>
  <mergeCells count="12">
    <mergeCell ref="L1:O1"/>
    <mergeCell ref="A16:D16"/>
    <mergeCell ref="F16:I16"/>
    <mergeCell ref="A1:D1"/>
    <mergeCell ref="F1:I1"/>
    <mergeCell ref="J3:J4"/>
    <mergeCell ref="J5:J6"/>
    <mergeCell ref="J7:J8"/>
    <mergeCell ref="J9:J10"/>
    <mergeCell ref="J15:J16"/>
    <mergeCell ref="J11:J12"/>
    <mergeCell ref="J13:J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tabSelected="1" workbookViewId="0">
      <selection activeCell="C20" sqref="C20:D21"/>
    </sheetView>
  </sheetViews>
  <sheetFormatPr defaultRowHeight="14.25" customHeight="1" x14ac:dyDescent="0.25"/>
  <cols>
    <col min="1" max="1" width="28.7109375" customWidth="1"/>
    <col min="2" max="2" width="18.28515625" customWidth="1"/>
    <col min="3" max="4" width="15.42578125" customWidth="1"/>
    <col min="6" max="6" width="27.7109375" customWidth="1"/>
    <col min="7" max="7" width="16.85546875" customWidth="1"/>
    <col min="8" max="8" width="17.5703125" customWidth="1"/>
    <col min="9" max="9" width="20.42578125" customWidth="1"/>
  </cols>
  <sheetData>
    <row r="1" spans="1:9" ht="14.25" customHeight="1" thickBot="1" x14ac:dyDescent="0.3">
      <c r="A1" s="18"/>
      <c r="B1" s="124" t="s">
        <v>42</v>
      </c>
      <c r="C1" s="125"/>
      <c r="D1" s="126"/>
      <c r="F1" s="18"/>
      <c r="G1" s="124" t="s">
        <v>43</v>
      </c>
      <c r="H1" s="125"/>
      <c r="I1" s="126"/>
    </row>
    <row r="2" spans="1:9" ht="14.25" customHeight="1" x14ac:dyDescent="0.25">
      <c r="A2" s="127"/>
      <c r="B2" s="127" t="s">
        <v>0</v>
      </c>
      <c r="C2" s="19" t="s">
        <v>44</v>
      </c>
      <c r="D2" s="19" t="s">
        <v>44</v>
      </c>
      <c r="F2" s="127"/>
      <c r="G2" s="127" t="s">
        <v>0</v>
      </c>
      <c r="H2" s="19" t="s">
        <v>44</v>
      </c>
      <c r="I2" s="19" t="s">
        <v>44</v>
      </c>
    </row>
    <row r="3" spans="1:9" ht="14.25" customHeight="1" thickBot="1" x14ac:dyDescent="0.3">
      <c r="A3" s="128"/>
      <c r="B3" s="128"/>
      <c r="C3" s="9" t="s">
        <v>45</v>
      </c>
      <c r="D3" s="9" t="s">
        <v>46</v>
      </c>
      <c r="F3" s="128"/>
      <c r="G3" s="128"/>
      <c r="H3" s="9" t="s">
        <v>45</v>
      </c>
      <c r="I3" s="9" t="s">
        <v>46</v>
      </c>
    </row>
    <row r="4" spans="1:9" ht="14.25" customHeight="1" x14ac:dyDescent="0.25">
      <c r="A4" s="24" t="s">
        <v>47</v>
      </c>
      <c r="B4" s="131">
        <v>50</v>
      </c>
      <c r="C4" s="131">
        <v>50</v>
      </c>
      <c r="D4" s="131">
        <v>50</v>
      </c>
      <c r="F4" s="24" t="s">
        <v>47</v>
      </c>
      <c r="G4" s="131">
        <v>50</v>
      </c>
      <c r="H4" s="131">
        <v>50</v>
      </c>
      <c r="I4" s="131">
        <v>50</v>
      </c>
    </row>
    <row r="5" spans="1:9" ht="14.25" customHeight="1" thickBot="1" x14ac:dyDescent="0.3">
      <c r="A5" s="25" t="s">
        <v>48</v>
      </c>
      <c r="B5" s="132"/>
      <c r="C5" s="132"/>
      <c r="D5" s="132"/>
      <c r="F5" s="25" t="s">
        <v>48</v>
      </c>
      <c r="G5" s="132"/>
      <c r="H5" s="132"/>
      <c r="I5" s="132"/>
    </row>
    <row r="6" spans="1:9" ht="14.25" customHeight="1" x14ac:dyDescent="0.25">
      <c r="A6" s="20" t="s">
        <v>49</v>
      </c>
      <c r="B6" s="129">
        <v>18250</v>
      </c>
      <c r="C6" s="129">
        <v>18250</v>
      </c>
      <c r="D6" s="129">
        <v>18250</v>
      </c>
      <c r="F6" s="20" t="s">
        <v>49</v>
      </c>
      <c r="G6" s="129">
        <v>18250</v>
      </c>
      <c r="H6" s="129">
        <v>18250</v>
      </c>
      <c r="I6" s="129">
        <v>18250</v>
      </c>
    </row>
    <row r="7" spans="1:9" ht="14.25" customHeight="1" thickBot="1" x14ac:dyDescent="0.3">
      <c r="A7" s="25" t="s">
        <v>50</v>
      </c>
      <c r="B7" s="130"/>
      <c r="C7" s="130"/>
      <c r="D7" s="130"/>
      <c r="F7" s="25" t="s">
        <v>50</v>
      </c>
      <c r="G7" s="130"/>
      <c r="H7" s="130"/>
      <c r="I7" s="130"/>
    </row>
    <row r="8" spans="1:9" ht="14.25" customHeight="1" x14ac:dyDescent="0.25">
      <c r="A8" s="20" t="s">
        <v>51</v>
      </c>
      <c r="B8" s="133">
        <v>1</v>
      </c>
      <c r="C8" s="133">
        <v>0.86</v>
      </c>
      <c r="D8" s="133">
        <v>0.73</v>
      </c>
      <c r="F8" s="20" t="s">
        <v>51</v>
      </c>
      <c r="G8" s="137">
        <f>'Workpaper Low Temp'!B6</f>
        <v>1.7</v>
      </c>
      <c r="H8" s="137">
        <f>'Workpaper Low Temp'!C6</f>
        <v>1.19</v>
      </c>
      <c r="I8" s="137">
        <f>'Workpaper Low Temp'!D6</f>
        <v>1.01</v>
      </c>
    </row>
    <row r="9" spans="1:9" ht="14.25" customHeight="1" thickBot="1" x14ac:dyDescent="0.3">
      <c r="A9" s="25" t="s">
        <v>52</v>
      </c>
      <c r="B9" s="134"/>
      <c r="C9" s="134"/>
      <c r="D9" s="134"/>
      <c r="F9" s="25" t="s">
        <v>52</v>
      </c>
      <c r="G9" s="132"/>
      <c r="H9" s="132"/>
      <c r="I9" s="132"/>
    </row>
    <row r="10" spans="1:9" ht="14.25" customHeight="1" x14ac:dyDescent="0.25">
      <c r="A10" s="21" t="s">
        <v>53</v>
      </c>
      <c r="B10" s="131">
        <f>B8*B4</f>
        <v>50</v>
      </c>
      <c r="C10" s="131">
        <f>C8*C4</f>
        <v>43</v>
      </c>
      <c r="D10" s="131">
        <f>D8*D4</f>
        <v>36.5</v>
      </c>
      <c r="F10" s="21" t="s">
        <v>53</v>
      </c>
      <c r="G10" s="138">
        <f>G8*G4</f>
        <v>85</v>
      </c>
      <c r="H10" s="138">
        <f>H8*H4</f>
        <v>59.5</v>
      </c>
      <c r="I10" s="138">
        <f>I8*I4</f>
        <v>50.5</v>
      </c>
    </row>
    <row r="11" spans="1:9" ht="14.25" customHeight="1" thickBot="1" x14ac:dyDescent="0.3">
      <c r="A11" s="5" t="s">
        <v>54</v>
      </c>
      <c r="B11" s="132"/>
      <c r="C11" s="132"/>
      <c r="D11" s="132"/>
      <c r="F11" s="5" t="s">
        <v>54</v>
      </c>
      <c r="G11" s="139"/>
      <c r="H11" s="139"/>
      <c r="I11" s="139"/>
    </row>
    <row r="12" spans="1:9" ht="14.25" customHeight="1" x14ac:dyDescent="0.25">
      <c r="A12" s="20" t="s">
        <v>55</v>
      </c>
      <c r="B12" s="129">
        <f>B10*365</f>
        <v>18250</v>
      </c>
      <c r="C12" s="129">
        <f>C10*365</f>
        <v>15695</v>
      </c>
      <c r="D12" s="129">
        <f>D10*365</f>
        <v>13322.5</v>
      </c>
      <c r="F12" s="20" t="s">
        <v>55</v>
      </c>
      <c r="G12" s="129">
        <f>G10*365</f>
        <v>31025</v>
      </c>
      <c r="H12" s="129">
        <f>H10*365</f>
        <v>21717.5</v>
      </c>
      <c r="I12" s="129">
        <f>I10*365</f>
        <v>18432.5</v>
      </c>
    </row>
    <row r="13" spans="1:9" ht="14.25" customHeight="1" thickBot="1" x14ac:dyDescent="0.3">
      <c r="A13" s="25" t="s">
        <v>56</v>
      </c>
      <c r="B13" s="130"/>
      <c r="C13" s="130"/>
      <c r="D13" s="130"/>
      <c r="F13" s="25" t="s">
        <v>56</v>
      </c>
      <c r="G13" s="130"/>
      <c r="H13" s="130"/>
      <c r="I13" s="130"/>
    </row>
    <row r="14" spans="1:9" ht="14.25" customHeight="1" x14ac:dyDescent="0.25">
      <c r="A14" s="22" t="s">
        <v>57</v>
      </c>
      <c r="B14" s="131" t="s">
        <v>58</v>
      </c>
      <c r="C14" s="135">
        <f>B12-C12</f>
        <v>2555</v>
      </c>
      <c r="D14" s="135">
        <f>B12-D12</f>
        <v>4927.5</v>
      </c>
      <c r="F14" s="22" t="s">
        <v>57</v>
      </c>
      <c r="G14" s="131" t="s">
        <v>58</v>
      </c>
      <c r="H14" s="135">
        <f>G12-H12</f>
        <v>9307.5</v>
      </c>
      <c r="I14" s="135">
        <f>G12-I12</f>
        <v>12592.5</v>
      </c>
    </row>
    <row r="15" spans="1:9" ht="14.25" customHeight="1" thickBot="1" x14ac:dyDescent="0.3">
      <c r="A15" s="8" t="s">
        <v>56</v>
      </c>
      <c r="B15" s="132"/>
      <c r="C15" s="136"/>
      <c r="D15" s="136"/>
      <c r="F15" s="8" t="s">
        <v>56</v>
      </c>
      <c r="G15" s="132"/>
      <c r="H15" s="136"/>
      <c r="I15" s="136"/>
    </row>
    <row r="19" spans="2:4" ht="14.25" customHeight="1" x14ac:dyDescent="0.25">
      <c r="B19" s="102"/>
      <c r="C19" s="103" t="s">
        <v>45</v>
      </c>
      <c r="D19" s="103" t="s">
        <v>46</v>
      </c>
    </row>
    <row r="20" spans="2:4" ht="14.25" customHeight="1" x14ac:dyDescent="0.25">
      <c r="B20" s="142" t="s">
        <v>73</v>
      </c>
      <c r="C20" s="143">
        <v>9307.5</v>
      </c>
      <c r="D20" s="143">
        <v>12592.5</v>
      </c>
    </row>
    <row r="21" spans="2:4" ht="14.25" customHeight="1" x14ac:dyDescent="0.25">
      <c r="B21" s="142" t="s">
        <v>74</v>
      </c>
      <c r="C21" s="143">
        <v>2555</v>
      </c>
      <c r="D21" s="143">
        <v>4927.5</v>
      </c>
    </row>
  </sheetData>
  <mergeCells count="42">
    <mergeCell ref="G14:G15"/>
    <mergeCell ref="H14:H15"/>
    <mergeCell ref="I14:I15"/>
    <mergeCell ref="G10:G11"/>
    <mergeCell ref="H10:H11"/>
    <mergeCell ref="I10:I11"/>
    <mergeCell ref="G12:G13"/>
    <mergeCell ref="H12:H13"/>
    <mergeCell ref="I12:I13"/>
    <mergeCell ref="G6:G7"/>
    <mergeCell ref="H6:H7"/>
    <mergeCell ref="I6:I7"/>
    <mergeCell ref="G8:G9"/>
    <mergeCell ref="H8:H9"/>
    <mergeCell ref="I8:I9"/>
    <mergeCell ref="G1:I1"/>
    <mergeCell ref="F2:F3"/>
    <mergeCell ref="G2:G3"/>
    <mergeCell ref="G4:G5"/>
    <mergeCell ref="H4:H5"/>
    <mergeCell ref="I4:I5"/>
    <mergeCell ref="B14:B15"/>
    <mergeCell ref="C14:C15"/>
    <mergeCell ref="D14:D15"/>
    <mergeCell ref="B12:B13"/>
    <mergeCell ref="C12:C13"/>
    <mergeCell ref="D12:D13"/>
    <mergeCell ref="B10:B11"/>
    <mergeCell ref="C10:C11"/>
    <mergeCell ref="D10:D11"/>
    <mergeCell ref="B8:B9"/>
    <mergeCell ref="C8:C9"/>
    <mergeCell ref="D8:D9"/>
    <mergeCell ref="B1:D1"/>
    <mergeCell ref="A2:A3"/>
    <mergeCell ref="B2:B3"/>
    <mergeCell ref="B6:B7"/>
    <mergeCell ref="C6:C7"/>
    <mergeCell ref="D6:D7"/>
    <mergeCell ref="B4:B5"/>
    <mergeCell ref="C4:C5"/>
    <mergeCell ref="D4:D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2F1AA-74B0-4638-85B8-AB31ED1E11C4}">
  <dimension ref="A1:J6"/>
  <sheetViews>
    <sheetView workbookViewId="0">
      <selection activeCell="A2" sqref="A2:D6"/>
    </sheetView>
  </sheetViews>
  <sheetFormatPr defaultRowHeight="27.75" customHeight="1" x14ac:dyDescent="0.25"/>
  <cols>
    <col min="1" max="1" width="18.7109375" bestFit="1" customWidth="1"/>
    <col min="2" max="2" width="12.7109375" customWidth="1"/>
    <col min="3" max="3" width="10.140625" customWidth="1"/>
    <col min="4" max="4" width="11.5703125" customWidth="1"/>
    <col min="5" max="5" width="23.28515625" bestFit="1" customWidth="1"/>
    <col min="6" max="6" width="21.42578125" bestFit="1" customWidth="1"/>
    <col min="7" max="7" width="12" bestFit="1" customWidth="1"/>
    <col min="9" max="10" width="4" bestFit="1" customWidth="1"/>
  </cols>
  <sheetData>
    <row r="1" spans="1:10" ht="27.75" customHeight="1" x14ac:dyDescent="0.35">
      <c r="A1" s="141" t="s">
        <v>84</v>
      </c>
      <c r="B1" s="141"/>
      <c r="C1" s="141"/>
      <c r="D1" s="141"/>
    </row>
    <row r="2" spans="1:10" ht="27.75" customHeight="1" x14ac:dyDescent="0.25">
      <c r="A2" s="102"/>
      <c r="B2" s="102"/>
      <c r="C2" s="103" t="s">
        <v>45</v>
      </c>
      <c r="D2" s="103" t="s">
        <v>46</v>
      </c>
    </row>
    <row r="3" spans="1:10" ht="27.75" customHeight="1" x14ac:dyDescent="0.25">
      <c r="A3" s="140" t="s">
        <v>73</v>
      </c>
      <c r="B3" s="104" t="s">
        <v>76</v>
      </c>
      <c r="C3" s="105">
        <v>56.124225000000024</v>
      </c>
      <c r="D3" s="105">
        <v>339.94944166666687</v>
      </c>
      <c r="I3" s="75"/>
      <c r="J3" s="75"/>
    </row>
    <row r="4" spans="1:10" ht="27.75" customHeight="1" x14ac:dyDescent="0.25">
      <c r="A4" s="140"/>
      <c r="B4" s="104" t="s">
        <v>86</v>
      </c>
      <c r="C4" s="105">
        <v>78.545992499999983</v>
      </c>
      <c r="D4" s="105">
        <v>106.26810749999996</v>
      </c>
      <c r="F4" s="75"/>
      <c r="G4" s="75"/>
    </row>
    <row r="5" spans="1:10" ht="27.75" customHeight="1" x14ac:dyDescent="0.25">
      <c r="A5" s="140" t="s">
        <v>74</v>
      </c>
      <c r="B5" s="104" t="s">
        <v>76</v>
      </c>
      <c r="C5" s="105">
        <v>1774.4633166666672</v>
      </c>
      <c r="D5" s="105">
        <v>2285.2911583333344</v>
      </c>
      <c r="I5" s="75"/>
      <c r="J5" s="75"/>
    </row>
    <row r="6" spans="1:10" ht="27.75" customHeight="1" x14ac:dyDescent="0.25">
      <c r="A6" s="140"/>
      <c r="B6" s="104" t="s">
        <v>86</v>
      </c>
      <c r="C6" s="105">
        <v>21.56164499999997</v>
      </c>
      <c r="D6" s="105">
        <v>41.583172499999989</v>
      </c>
      <c r="F6" s="75"/>
      <c r="G6" s="75"/>
    </row>
  </sheetData>
  <mergeCells count="3">
    <mergeCell ref="A3:A4"/>
    <mergeCell ref="A5:A6"/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Workpaper Hi Temp</vt:lpstr>
      <vt:lpstr>Workpaper Low Temp</vt:lpstr>
      <vt:lpstr>Water Savings</vt:lpstr>
      <vt:lpstr>Summary-Energy Savings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Livchak</dc:creator>
  <cp:lastModifiedBy>Marquez, Andres</cp:lastModifiedBy>
  <dcterms:created xsi:type="dcterms:W3CDTF">2016-01-27T00:30:39Z</dcterms:created>
  <dcterms:modified xsi:type="dcterms:W3CDTF">2018-09-21T18:09:19Z</dcterms:modified>
</cp:coreProperties>
</file>